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0260" windowHeight="7620" firstSheet="7" activeTab="7"/>
  </bookViews>
  <sheets>
    <sheet name="Apa+Canal" sheetId="6" state="hidden" r:id="rId1"/>
    <sheet name="APA" sheetId="1" state="hidden" r:id="rId2"/>
    <sheet name="CANAL" sheetId="2" state="hidden" r:id="rId3"/>
    <sheet name="Pret unitar apa" sheetId="3" state="hidden" r:id="rId4"/>
    <sheet name="Pret unitar canal" sheetId="4" state="hidden" r:id="rId5"/>
    <sheet name="PretSP Apa+Canal+Puturi +ST+Rez" sheetId="10" state="hidden" r:id="rId6"/>
    <sheet name="Pret statii de epurare" sheetId="5" state="hidden" r:id="rId7"/>
    <sheet name="Anexa 7.1" sheetId="7" r:id="rId8"/>
    <sheet name="Anexa 7.2 " sheetId="9" r:id="rId9"/>
    <sheet name="Anexa 7.3" sheetId="8" r:id="rId10"/>
    <sheet name="Calcul instalatii namol" sheetId="11" state="hidden" r:id="rId11"/>
    <sheet name="Apa sub 2500 LE" sheetId="12" state="hidden" r:id="rId12"/>
    <sheet name="Canal sub 2500 LE" sheetId="13" state="hidden" r:id="rId13"/>
    <sheet name="preturi unitare" sheetId="14" r:id="rId14"/>
  </sheets>
  <definedNames>
    <definedName name="_xlnm.Print_Area" localSheetId="7">'Anexa 7.1'!$A$1:$H$192</definedName>
    <definedName name="_xlnm.Print_Area" localSheetId="9">'Anexa 7.3'!$A$1:$S$1575</definedName>
    <definedName name="_xlnm.Print_Titles" localSheetId="7">'Anexa 7.1'!$4:$6</definedName>
    <definedName name="_xlnm.Print_Titles" localSheetId="8">'Anexa 7.2 '!$A:$B,'Anexa 7.2 '!$2:$3</definedName>
    <definedName name="_xlnm.Print_Titles" localSheetId="9">'Anexa 7.3'!$2:$2</definedName>
  </definedNames>
  <calcPr calcId="124519"/>
</workbook>
</file>

<file path=xl/calcChain.xml><?xml version="1.0" encoding="utf-8"?>
<calcChain xmlns="http://schemas.openxmlformats.org/spreadsheetml/2006/main">
  <c r="J1078" i="8"/>
  <c r="J953"/>
  <c r="J608"/>
  <c r="J1306"/>
  <c r="K1306" s="1"/>
  <c r="L1306" s="1"/>
  <c r="N580"/>
  <c r="J578"/>
  <c r="J577"/>
  <c r="J576"/>
  <c r="T8" i="9" s="1"/>
  <c r="J1360" i="8"/>
  <c r="J1361"/>
  <c r="J1175"/>
  <c r="J830"/>
  <c r="K830" s="1"/>
  <c r="J815"/>
  <c r="K815" s="1"/>
  <c r="AH10" i="9" s="1"/>
  <c r="J931" i="8"/>
  <c r="K931" s="1"/>
  <c r="J932"/>
  <c r="K932" s="1"/>
  <c r="AI10" i="9" s="1"/>
  <c r="J561" i="8"/>
  <c r="J1030"/>
  <c r="K1030" s="1"/>
  <c r="L875"/>
  <c r="J872"/>
  <c r="J868"/>
  <c r="K868" s="1"/>
  <c r="M868" s="1"/>
  <c r="J866"/>
  <c r="K866" s="1"/>
  <c r="M866" s="1"/>
  <c r="J864"/>
  <c r="K864" s="1"/>
  <c r="M864" s="1"/>
  <c r="J862"/>
  <c r="K862" s="1"/>
  <c r="J863"/>
  <c r="K863" s="1"/>
  <c r="M863" s="1"/>
  <c r="J861"/>
  <c r="K861" s="1"/>
  <c r="M861" s="1"/>
  <c r="J1028"/>
  <c r="J1029" s="1"/>
  <c r="J901"/>
  <c r="J899"/>
  <c r="L815" l="1"/>
  <c r="T11" i="9"/>
  <c r="T9"/>
  <c r="L580" i="8"/>
  <c r="M580"/>
  <c r="E57" i="7" s="1"/>
  <c r="O576" i="8"/>
  <c r="L830"/>
  <c r="AH12" i="9"/>
  <c r="M1030" i="8"/>
  <c r="M1032" s="1"/>
  <c r="N1032"/>
  <c r="AN14" i="9"/>
  <c r="M862" i="8"/>
  <c r="O861" s="1"/>
  <c r="P861" s="1"/>
  <c r="AE16" i="9"/>
  <c r="J865" i="8"/>
  <c r="K1028"/>
  <c r="K1211"/>
  <c r="M1211" s="1"/>
  <c r="J1209"/>
  <c r="J1423"/>
  <c r="D57" i="7" l="1"/>
  <c r="C57"/>
  <c r="L1028" i="8"/>
  <c r="K865"/>
  <c r="J867"/>
  <c r="N1217"/>
  <c r="K1209"/>
  <c r="J1210"/>
  <c r="K1210" s="1"/>
  <c r="M865" l="1"/>
  <c r="J869"/>
  <c r="K869" s="1"/>
  <c r="M869" s="1"/>
  <c r="O868" s="1"/>
  <c r="P868" s="1"/>
  <c r="K867"/>
  <c r="M867" s="1"/>
  <c r="O866" s="1"/>
  <c r="P866" s="1"/>
  <c r="M1210"/>
  <c r="M1209"/>
  <c r="J494"/>
  <c r="J898"/>
  <c r="K898" s="1"/>
  <c r="J897"/>
  <c r="K897" s="1"/>
  <c r="L897" s="1"/>
  <c r="J896"/>
  <c r="K896" s="1"/>
  <c r="J895"/>
  <c r="K895" s="1"/>
  <c r="J894"/>
  <c r="K894" s="1"/>
  <c r="L894" s="1"/>
  <c r="D894"/>
  <c r="E894" s="1"/>
  <c r="J883"/>
  <c r="J884" s="1"/>
  <c r="K884" s="1"/>
  <c r="L884" s="1"/>
  <c r="O884" s="1"/>
  <c r="P884" s="1"/>
  <c r="O864" l="1"/>
  <c r="P864" s="1"/>
  <c r="O1209"/>
  <c r="P1209" s="1"/>
  <c r="M1217"/>
  <c r="L895"/>
  <c r="AF15" i="9"/>
  <c r="L898" i="8"/>
  <c r="L896"/>
  <c r="AF16" i="9"/>
  <c r="K883" i="8"/>
  <c r="L883" s="1"/>
  <c r="O883" s="1"/>
  <c r="P883" s="1"/>
  <c r="O894" l="1"/>
  <c r="P894" s="1"/>
  <c r="K1029" l="1"/>
  <c r="L1029" l="1"/>
  <c r="L1032" s="1"/>
  <c r="K1032"/>
  <c r="AN17" i="9"/>
  <c r="D1020" i="8"/>
  <c r="D1028" s="1"/>
  <c r="E1028" s="1"/>
  <c r="D1154"/>
  <c r="L1229"/>
  <c r="J1227"/>
  <c r="K1227" s="1"/>
  <c r="M1227" s="1"/>
  <c r="D1212"/>
  <c r="D1421"/>
  <c r="J1426"/>
  <c r="K1426" s="1"/>
  <c r="L1426" s="1"/>
  <c r="K1425"/>
  <c r="L1425" s="1"/>
  <c r="J1424"/>
  <c r="K1424" s="1"/>
  <c r="J1422"/>
  <c r="K1422" s="1"/>
  <c r="J1421"/>
  <c r="K1421" s="1"/>
  <c r="N1229" l="1"/>
  <c r="O1227"/>
  <c r="P1227" s="1"/>
  <c r="L1422"/>
  <c r="L1421"/>
  <c r="L1424"/>
  <c r="K1423"/>
  <c r="K374"/>
  <c r="L374" s="1"/>
  <c r="N377"/>
  <c r="M377"/>
  <c r="J375"/>
  <c r="K375" s="1"/>
  <c r="L375" s="1"/>
  <c r="E939"/>
  <c r="L1423" l="1"/>
  <c r="O1421" s="1"/>
  <c r="P1421" s="1"/>
  <c r="K373"/>
  <c r="N9" i="14"/>
  <c r="D768" i="8"/>
  <c r="E768" s="1"/>
  <c r="J457"/>
  <c r="K457" s="1"/>
  <c r="L457" s="1"/>
  <c r="D457"/>
  <c r="E457" s="1"/>
  <c r="N448"/>
  <c r="M448"/>
  <c r="J445"/>
  <c r="K445" s="1"/>
  <c r="L445" s="1"/>
  <c r="O445" s="1"/>
  <c r="P445" s="1"/>
  <c r="J1373"/>
  <c r="J1372"/>
  <c r="K1372" s="1"/>
  <c r="M1372" s="1"/>
  <c r="D1372"/>
  <c r="E1372" s="1"/>
  <c r="N1363"/>
  <c r="M1363"/>
  <c r="K1359"/>
  <c r="L1359" s="1"/>
  <c r="K1361"/>
  <c r="L1361" s="1"/>
  <c r="K1360"/>
  <c r="L1360" s="1"/>
  <c r="J1358"/>
  <c r="K1358" s="1"/>
  <c r="L1358" s="1"/>
  <c r="J1357"/>
  <c r="K1357" s="1"/>
  <c r="BC7" i="9" s="1"/>
  <c r="J1101" i="8"/>
  <c r="J398"/>
  <c r="D425"/>
  <c r="E425" s="1"/>
  <c r="K537"/>
  <c r="L537" s="1"/>
  <c r="K536"/>
  <c r="L536" s="1"/>
  <c r="K535"/>
  <c r="L535" s="1"/>
  <c r="K534"/>
  <c r="L534" s="1"/>
  <c r="K533"/>
  <c r="L533" s="1"/>
  <c r="K532"/>
  <c r="L532" s="1"/>
  <c r="K531"/>
  <c r="L531" s="1"/>
  <c r="K530"/>
  <c r="L530" s="1"/>
  <c r="N1047"/>
  <c r="N1048"/>
  <c r="N1049"/>
  <c r="N1050"/>
  <c r="N1051"/>
  <c r="N1052"/>
  <c r="N1053"/>
  <c r="N1054"/>
  <c r="N1055"/>
  <c r="N1056"/>
  <c r="N1057"/>
  <c r="N1058"/>
  <c r="N1059"/>
  <c r="N1060"/>
  <c r="N1061"/>
  <c r="N1062"/>
  <c r="N1046"/>
  <c r="J1049"/>
  <c r="K1049" s="1"/>
  <c r="L1049" s="1"/>
  <c r="J1062"/>
  <c r="K1062" s="1"/>
  <c r="L1062" s="1"/>
  <c r="K1057"/>
  <c r="L1057" s="1"/>
  <c r="K1060"/>
  <c r="L1060" s="1"/>
  <c r="K1059"/>
  <c r="L1059" s="1"/>
  <c r="K1055"/>
  <c r="L1055" s="1"/>
  <c r="K1054"/>
  <c r="L1054" s="1"/>
  <c r="J1053"/>
  <c r="K1053" s="1"/>
  <c r="L1053" s="1"/>
  <c r="J1052"/>
  <c r="K1052" s="1"/>
  <c r="L1052" s="1"/>
  <c r="K1061"/>
  <c r="L1061" s="1"/>
  <c r="K1058"/>
  <c r="L1058" s="1"/>
  <c r="K1056"/>
  <c r="L1056" s="1"/>
  <c r="J1051"/>
  <c r="K1051" s="1"/>
  <c r="L1051" s="1"/>
  <c r="J1050"/>
  <c r="K1050" s="1"/>
  <c r="L1050" s="1"/>
  <c r="K1048"/>
  <c r="L1048" s="1"/>
  <c r="K1047"/>
  <c r="L1047" s="1"/>
  <c r="K1046"/>
  <c r="L1046" s="1"/>
  <c r="E841"/>
  <c r="E840"/>
  <c r="K469"/>
  <c r="L469" s="1"/>
  <c r="D301"/>
  <c r="D221"/>
  <c r="D82"/>
  <c r="J1371"/>
  <c r="K1371" s="1"/>
  <c r="L1371" s="1"/>
  <c r="J1370"/>
  <c r="K1370" s="1"/>
  <c r="L1370" s="1"/>
  <c r="E1370"/>
  <c r="E1367"/>
  <c r="L373" l="1"/>
  <c r="BC8" i="9"/>
  <c r="O457" i="8"/>
  <c r="P457" s="1"/>
  <c r="L459"/>
  <c r="K1373"/>
  <c r="M1373" s="1"/>
  <c r="O1372" s="1"/>
  <c r="L1375"/>
  <c r="BC14" i="9"/>
  <c r="BC9"/>
  <c r="BC12"/>
  <c r="L1357" i="8"/>
  <c r="AO21" i="9"/>
  <c r="AO15"/>
  <c r="AO16"/>
  <c r="AO17"/>
  <c r="L1064" i="8"/>
  <c r="O1046" s="1"/>
  <c r="K1064"/>
  <c r="O1370"/>
  <c r="P1370" s="1"/>
  <c r="E1046"/>
  <c r="J795"/>
  <c r="J794"/>
  <c r="J793"/>
  <c r="J336"/>
  <c r="K336" s="1"/>
  <c r="M336" s="1"/>
  <c r="J335"/>
  <c r="K335" s="1"/>
  <c r="M335" s="1"/>
  <c r="J334"/>
  <c r="K334" s="1"/>
  <c r="M334" s="1"/>
  <c r="E334"/>
  <c r="J332"/>
  <c r="B188" i="7"/>
  <c r="B185"/>
  <c r="F187"/>
  <c r="E187"/>
  <c r="D187"/>
  <c r="C187"/>
  <c r="B182"/>
  <c r="B179"/>
  <c r="B176"/>
  <c r="B173"/>
  <c r="B170"/>
  <c r="B167"/>
  <c r="P1372" i="8" l="1"/>
  <c r="O1357"/>
  <c r="P1357" s="1"/>
  <c r="P1046"/>
  <c r="J969"/>
  <c r="J968"/>
  <c r="K968" s="1"/>
  <c r="L968" s="1"/>
  <c r="M1568"/>
  <c r="E190" i="7" s="1"/>
  <c r="L1568" i="8"/>
  <c r="D190" i="7" s="1"/>
  <c r="J1566" i="8"/>
  <c r="K1566" s="1"/>
  <c r="N1566" s="1"/>
  <c r="K1565"/>
  <c r="N1565" s="1"/>
  <c r="E1565"/>
  <c r="E1564"/>
  <c r="E1563"/>
  <c r="J1562"/>
  <c r="K1562" s="1"/>
  <c r="N1562" s="1"/>
  <c r="O1562" s="1"/>
  <c r="J1561"/>
  <c r="K1561" s="1"/>
  <c r="J1560"/>
  <c r="K1560" s="1"/>
  <c r="J1552"/>
  <c r="K1552" s="1"/>
  <c r="E1562"/>
  <c r="D1560"/>
  <c r="E1560" s="1"/>
  <c r="N1556"/>
  <c r="F189" i="7" s="1"/>
  <c r="L1556" i="8"/>
  <c r="D189" i="7" s="1"/>
  <c r="J1541" i="8"/>
  <c r="K1541" s="1"/>
  <c r="N1544"/>
  <c r="L1544"/>
  <c r="M1533"/>
  <c r="E184" i="7" s="1"/>
  <c r="L1533" i="8"/>
  <c r="D184" i="7" s="1"/>
  <c r="J1530" i="8"/>
  <c r="K1530" s="1"/>
  <c r="N1530" s="1"/>
  <c r="D1530"/>
  <c r="E1530" s="1"/>
  <c r="J1529"/>
  <c r="K1529" s="1"/>
  <c r="J1528"/>
  <c r="K1528" s="1"/>
  <c r="D1528"/>
  <c r="E1528" s="1"/>
  <c r="N1524"/>
  <c r="F183" i="7" s="1"/>
  <c r="L1524" i="8"/>
  <c r="D183" i="7" s="1"/>
  <c r="J1522" i="8"/>
  <c r="K1522" s="1"/>
  <c r="M1522" s="1"/>
  <c r="J1521"/>
  <c r="K1521" s="1"/>
  <c r="M1521" s="1"/>
  <c r="J1518"/>
  <c r="K1518" s="1"/>
  <c r="M1518" s="1"/>
  <c r="J1517"/>
  <c r="K1517" s="1"/>
  <c r="M1517" s="1"/>
  <c r="J1512"/>
  <c r="K1512" s="1"/>
  <c r="J1516"/>
  <c r="K1516" s="1"/>
  <c r="J1515"/>
  <c r="K1515" s="1"/>
  <c r="M1515" s="1"/>
  <c r="J1514"/>
  <c r="J1519" s="1"/>
  <c r="K1519" s="1"/>
  <c r="M1519" s="1"/>
  <c r="J1511"/>
  <c r="K1511" s="1"/>
  <c r="K1513"/>
  <c r="M1513" s="1"/>
  <c r="J1501"/>
  <c r="D1501"/>
  <c r="E1501" s="1"/>
  <c r="J1495"/>
  <c r="K1495" s="1"/>
  <c r="L1495" s="1"/>
  <c r="BH11" i="9" s="1"/>
  <c r="D182" i="7" l="1"/>
  <c r="D188"/>
  <c r="L1546" i="8"/>
  <c r="D186" i="7"/>
  <c r="D185" s="1"/>
  <c r="N1546" i="8"/>
  <c r="F186" i="7"/>
  <c r="F185" s="1"/>
  <c r="N1529" i="8"/>
  <c r="M1552"/>
  <c r="O1552" s="1"/>
  <c r="P1552" s="1"/>
  <c r="M1511"/>
  <c r="BI8" i="9"/>
  <c r="M1512" i="8"/>
  <c r="BI9" i="9"/>
  <c r="N1528" i="8"/>
  <c r="BI14" i="9"/>
  <c r="M1541" i="8"/>
  <c r="M1516"/>
  <c r="BI12" i="9"/>
  <c r="N1561" i="8"/>
  <c r="BK17" i="9"/>
  <c r="L1570" i="8"/>
  <c r="O1565"/>
  <c r="P1565" s="1"/>
  <c r="J1563"/>
  <c r="J1553"/>
  <c r="J1554" s="1"/>
  <c r="K1554" s="1"/>
  <c r="M1554" s="1"/>
  <c r="O1554" s="1"/>
  <c r="P1554" s="1"/>
  <c r="P1562"/>
  <c r="N1560"/>
  <c r="L1535"/>
  <c r="J1542"/>
  <c r="K1542" s="1"/>
  <c r="M1542" s="1"/>
  <c r="M1544" s="1"/>
  <c r="J1531"/>
  <c r="K1531" s="1"/>
  <c r="N1531" s="1"/>
  <c r="O1530" s="1"/>
  <c r="P1530" s="1"/>
  <c r="K1514"/>
  <c r="J1520"/>
  <c r="K1520" s="1"/>
  <c r="M1520" s="1"/>
  <c r="O1528" l="1"/>
  <c r="P1528" s="1"/>
  <c r="BJ12" i="9"/>
  <c r="BJ23" s="1"/>
  <c r="BI17"/>
  <c r="M1514" i="8"/>
  <c r="O1511" s="1"/>
  <c r="P1511" s="1"/>
  <c r="BI11" i="9"/>
  <c r="M1546" i="8"/>
  <c r="E186" i="7"/>
  <c r="E185" s="1"/>
  <c r="K1563" i="8"/>
  <c r="J1564"/>
  <c r="K1564" s="1"/>
  <c r="N1564" s="1"/>
  <c r="O1564" s="1"/>
  <c r="P1564" s="1"/>
  <c r="K1553"/>
  <c r="O1560"/>
  <c r="P1560" s="1"/>
  <c r="O1541"/>
  <c r="P1541" s="1"/>
  <c r="K1544"/>
  <c r="N1533"/>
  <c r="K1533"/>
  <c r="C184" i="7" s="1"/>
  <c r="O1517" i="8"/>
  <c r="P1517" s="1"/>
  <c r="K1524"/>
  <c r="C183" i="7" s="1"/>
  <c r="M1524" i="8" l="1"/>
  <c r="E183" i="7" s="1"/>
  <c r="E182" s="1"/>
  <c r="C182"/>
  <c r="BK14" i="9"/>
  <c r="BI23"/>
  <c r="K1546" i="8"/>
  <c r="C186" i="7"/>
  <c r="C185" s="1"/>
  <c r="N1535" i="8"/>
  <c r="F184" i="7"/>
  <c r="F182" s="1"/>
  <c r="M1553" i="8"/>
  <c r="O1553" s="1"/>
  <c r="P1553" s="1"/>
  <c r="BK12" i="9"/>
  <c r="N1563" i="8"/>
  <c r="K1568"/>
  <c r="C190" i="7" s="1"/>
  <c r="K1556" i="8"/>
  <c r="C189" i="7" s="1"/>
  <c r="K1535" i="8"/>
  <c r="M1535" l="1"/>
  <c r="BK23" i="9"/>
  <c r="C188" i="7"/>
  <c r="M1556" i="8"/>
  <c r="K1570"/>
  <c r="O1563"/>
  <c r="P1563" s="1"/>
  <c r="N1568"/>
  <c r="K1501"/>
  <c r="L1501" s="1"/>
  <c r="N1497"/>
  <c r="F180" i="7" s="1"/>
  <c r="L1486" i="8"/>
  <c r="D178" i="7" s="1"/>
  <c r="J1484" i="8"/>
  <c r="K1484" s="1"/>
  <c r="N1484" s="1"/>
  <c r="J1483"/>
  <c r="K1483" s="1"/>
  <c r="N1483" s="1"/>
  <c r="E1483"/>
  <c r="J1482"/>
  <c r="K1482" s="1"/>
  <c r="J1481"/>
  <c r="K1481" s="1"/>
  <c r="J1480"/>
  <c r="K1480" s="1"/>
  <c r="D1480"/>
  <c r="E1480" s="1"/>
  <c r="J1474"/>
  <c r="K1474" s="1"/>
  <c r="J1473"/>
  <c r="J1472"/>
  <c r="J1471"/>
  <c r="I1472"/>
  <c r="I1473" s="1"/>
  <c r="J223"/>
  <c r="K223" s="1"/>
  <c r="N1476"/>
  <c r="F177" i="7" s="1"/>
  <c r="L1476" i="8"/>
  <c r="D177" i="7" s="1"/>
  <c r="F147"/>
  <c r="J1215" i="8"/>
  <c r="K1215" s="1"/>
  <c r="J1214"/>
  <c r="K1214" s="1"/>
  <c r="J1213"/>
  <c r="K1213" s="1"/>
  <c r="J1212"/>
  <c r="K1212" s="1"/>
  <c r="AW9" i="9" s="1"/>
  <c r="BG14" l="1"/>
  <c r="L1213" i="8"/>
  <c r="AW10" i="9"/>
  <c r="L1215" i="8"/>
  <c r="AW12" i="9"/>
  <c r="L1214" i="8"/>
  <c r="AW11" i="9"/>
  <c r="L1212" i="8"/>
  <c r="K1217"/>
  <c r="C147" i="7" s="1"/>
  <c r="D176"/>
  <c r="M1474" i="8"/>
  <c r="BG12" i="9"/>
  <c r="M1482" i="8"/>
  <c r="BG17" i="9"/>
  <c r="L223" i="8"/>
  <c r="M1481"/>
  <c r="BG16" i="9"/>
  <c r="N1570" i="8"/>
  <c r="F190" i="7"/>
  <c r="F188" s="1"/>
  <c r="O1501" i="8"/>
  <c r="P1501" s="1"/>
  <c r="BH17" i="9"/>
  <c r="M1570" i="8"/>
  <c r="E189" i="7"/>
  <c r="E188" s="1"/>
  <c r="L1503" i="8"/>
  <c r="D181" i="7" s="1"/>
  <c r="K1472" i="8"/>
  <c r="M1472" s="1"/>
  <c r="K1471"/>
  <c r="O1483"/>
  <c r="P1483" s="1"/>
  <c r="N1486"/>
  <c r="M1480"/>
  <c r="K1486"/>
  <c r="C178" i="7" s="1"/>
  <c r="N1503" i="8"/>
  <c r="M1503"/>
  <c r="E181" i="7" s="1"/>
  <c r="K1503" i="8"/>
  <c r="C181" i="7" s="1"/>
  <c r="K1494" i="8"/>
  <c r="BH8" i="9" s="1"/>
  <c r="K1473" i="8"/>
  <c r="M1473" s="1"/>
  <c r="L1488"/>
  <c r="L1217" l="1"/>
  <c r="P1212" s="1"/>
  <c r="O1212"/>
  <c r="N1505"/>
  <c r="F181" i="7"/>
  <c r="F179" s="1"/>
  <c r="BH23" i="9"/>
  <c r="M1471" i="8"/>
  <c r="M1476" s="1"/>
  <c r="BG11" i="9"/>
  <c r="BG23" s="1"/>
  <c r="M1486" i="8"/>
  <c r="E178" i="7" s="1"/>
  <c r="E147"/>
  <c r="N1488" i="8"/>
  <c r="F178" i="7"/>
  <c r="F176" s="1"/>
  <c r="L1494" i="8"/>
  <c r="K1497"/>
  <c r="O1480"/>
  <c r="P1480" s="1"/>
  <c r="K1476"/>
  <c r="D147" i="7" l="1"/>
  <c r="O1471" i="8"/>
  <c r="P1471" s="1"/>
  <c r="M1488"/>
  <c r="E177" i="7"/>
  <c r="E176" s="1"/>
  <c r="K1488" i="8"/>
  <c r="C177" i="7"/>
  <c r="C176" s="1"/>
  <c r="K1505" i="8"/>
  <c r="C180" i="7"/>
  <c r="C179" s="1"/>
  <c r="L1497" i="8"/>
  <c r="O1494"/>
  <c r="P1494" s="1"/>
  <c r="M1497"/>
  <c r="J1461"/>
  <c r="K1461" s="1"/>
  <c r="M1461" s="1"/>
  <c r="J1460"/>
  <c r="J1459"/>
  <c r="K1459" s="1"/>
  <c r="L1459" s="1"/>
  <c r="E1461"/>
  <c r="E1460"/>
  <c r="E1459"/>
  <c r="N1455"/>
  <c r="J1453"/>
  <c r="K1453" s="1"/>
  <c r="J1452"/>
  <c r="K1452" s="1"/>
  <c r="L1452" s="1"/>
  <c r="K1460" l="1"/>
  <c r="K1463" s="1"/>
  <c r="C175" i="7" s="1"/>
  <c r="L1460" i="8"/>
  <c r="L1463" s="1"/>
  <c r="D175" i="7" s="1"/>
  <c r="O1452" i="8"/>
  <c r="L1455"/>
  <c r="L1453"/>
  <c r="O1453" s="1"/>
  <c r="P1453" s="1"/>
  <c r="N1463"/>
  <c r="F174" i="7"/>
  <c r="M1505" i="8"/>
  <c r="E180" i="7"/>
  <c r="E179" s="1"/>
  <c r="BF11" i="9"/>
  <c r="L1505" i="8"/>
  <c r="D180" i="7"/>
  <c r="D179" s="1"/>
  <c r="K1455" i="8"/>
  <c r="P1452"/>
  <c r="J562"/>
  <c r="J240"/>
  <c r="J1438"/>
  <c r="K1438" s="1"/>
  <c r="M1438" s="1"/>
  <c r="J1322"/>
  <c r="J1321"/>
  <c r="K1321" s="1"/>
  <c r="M1321" s="1"/>
  <c r="E1321"/>
  <c r="J1320"/>
  <c r="K1320" s="1"/>
  <c r="M1320" s="1"/>
  <c r="E1320"/>
  <c r="J1318"/>
  <c r="E1318"/>
  <c r="J1323"/>
  <c r="J1257"/>
  <c r="K1257" s="1"/>
  <c r="M1257" s="1"/>
  <c r="J1256"/>
  <c r="K1256" s="1"/>
  <c r="J1250"/>
  <c r="J1246"/>
  <c r="J1248"/>
  <c r="J1255"/>
  <c r="K1255" s="1"/>
  <c r="M1255" s="1"/>
  <c r="J1254"/>
  <c r="K1254" s="1"/>
  <c r="E1256"/>
  <c r="E1254"/>
  <c r="D1246"/>
  <c r="E1246" s="1"/>
  <c r="J1224"/>
  <c r="E1224"/>
  <c r="J1223"/>
  <c r="K1223" s="1"/>
  <c r="M1223" s="1"/>
  <c r="J1222"/>
  <c r="K1222" s="1"/>
  <c r="M1222" s="1"/>
  <c r="J1221"/>
  <c r="E1221"/>
  <c r="J1126"/>
  <c r="J1125"/>
  <c r="J999"/>
  <c r="K999" s="1"/>
  <c r="M999" s="1"/>
  <c r="J998"/>
  <c r="K998" s="1"/>
  <c r="M998" s="1"/>
  <c r="E998"/>
  <c r="J997"/>
  <c r="K997" s="1"/>
  <c r="M997" s="1"/>
  <c r="J996"/>
  <c r="K996" s="1"/>
  <c r="M996" s="1"/>
  <c r="J994"/>
  <c r="K994" s="1"/>
  <c r="E993"/>
  <c r="J995"/>
  <c r="K995" s="1"/>
  <c r="J993"/>
  <c r="J916"/>
  <c r="K916" s="1"/>
  <c r="M916" s="1"/>
  <c r="E916"/>
  <c r="J915"/>
  <c r="K915" s="1"/>
  <c r="M915" s="1"/>
  <c r="J914"/>
  <c r="J902"/>
  <c r="J900"/>
  <c r="J424"/>
  <c r="J368"/>
  <c r="K351"/>
  <c r="L351" s="1"/>
  <c r="J204"/>
  <c r="J201"/>
  <c r="K201" s="1"/>
  <c r="J939"/>
  <c r="J871"/>
  <c r="J873" s="1"/>
  <c r="K873" s="1"/>
  <c r="M873" s="1"/>
  <c r="J768"/>
  <c r="J769" s="1"/>
  <c r="J749"/>
  <c r="K749" s="1"/>
  <c r="J745"/>
  <c r="K745" s="1"/>
  <c r="J742"/>
  <c r="K742" s="1"/>
  <c r="J748"/>
  <c r="K748" s="1"/>
  <c r="M748" s="1"/>
  <c r="J740"/>
  <c r="J743" s="1"/>
  <c r="J741"/>
  <c r="K741" s="1"/>
  <c r="M741" s="1"/>
  <c r="J337"/>
  <c r="K337" s="1"/>
  <c r="J333"/>
  <c r="K333" s="1"/>
  <c r="M333" s="1"/>
  <c r="J203"/>
  <c r="K203" s="1"/>
  <c r="M203" s="1"/>
  <c r="J202"/>
  <c r="K202" s="1"/>
  <c r="M202" s="1"/>
  <c r="E1442"/>
  <c r="E1440"/>
  <c r="E1346"/>
  <c r="E1344"/>
  <c r="E1343"/>
  <c r="E1342"/>
  <c r="E1341"/>
  <c r="E1340"/>
  <c r="E1338"/>
  <c r="E1328"/>
  <c r="E1327"/>
  <c r="E1325"/>
  <c r="E1269"/>
  <c r="E1258"/>
  <c r="E1253"/>
  <c r="E1251"/>
  <c r="E1249"/>
  <c r="E1181"/>
  <c r="E1144"/>
  <c r="E1010"/>
  <c r="E1009"/>
  <c r="E919"/>
  <c r="E918"/>
  <c r="E901"/>
  <c r="E872"/>
  <c r="E870"/>
  <c r="E713"/>
  <c r="E589"/>
  <c r="E587"/>
  <c r="E456"/>
  <c r="E452"/>
  <c r="D428"/>
  <c r="D427"/>
  <c r="E427" s="1"/>
  <c r="D426"/>
  <c r="E426" s="1"/>
  <c r="D401"/>
  <c r="E401" s="1"/>
  <c r="D399"/>
  <c r="E399" s="1"/>
  <c r="D398"/>
  <c r="E398" s="1"/>
  <c r="E369"/>
  <c r="E368"/>
  <c r="E340"/>
  <c r="E339"/>
  <c r="E332"/>
  <c r="E318"/>
  <c r="E317"/>
  <c r="E315"/>
  <c r="E283"/>
  <c r="E282"/>
  <c r="E281"/>
  <c r="E280"/>
  <c r="E279"/>
  <c r="E277"/>
  <c r="E275"/>
  <c r="E241"/>
  <c r="E239"/>
  <c r="E205"/>
  <c r="E202"/>
  <c r="E199"/>
  <c r="E153"/>
  <c r="E152"/>
  <c r="D148"/>
  <c r="E148" s="1"/>
  <c r="D146"/>
  <c r="E146" s="1"/>
  <c r="E116"/>
  <c r="E115"/>
  <c r="E113"/>
  <c r="E111"/>
  <c r="E80"/>
  <c r="E78"/>
  <c r="E53"/>
  <c r="E50"/>
  <c r="E27"/>
  <c r="E25"/>
  <c r="E24"/>
  <c r="E22"/>
  <c r="J1338"/>
  <c r="N989"/>
  <c r="M989"/>
  <c r="J987"/>
  <c r="K987" s="1"/>
  <c r="L987" s="1"/>
  <c r="J986"/>
  <c r="K986" s="1"/>
  <c r="K150"/>
  <c r="I1095"/>
  <c r="BF17" i="9" l="1"/>
  <c r="BF23" s="1"/>
  <c r="C174" i="7"/>
  <c r="C173" s="1"/>
  <c r="O996" i="8"/>
  <c r="P996" s="1"/>
  <c r="O1320"/>
  <c r="P1320" s="1"/>
  <c r="O998"/>
  <c r="P998" s="1"/>
  <c r="M337"/>
  <c r="M742"/>
  <c r="O748"/>
  <c r="P748" s="1"/>
  <c r="O1256"/>
  <c r="P1256" s="1"/>
  <c r="M1256"/>
  <c r="M745"/>
  <c r="M150"/>
  <c r="M749"/>
  <c r="O1254"/>
  <c r="P1254" s="1"/>
  <c r="M1254"/>
  <c r="M1001"/>
  <c r="M1003" s="1"/>
  <c r="E428"/>
  <c r="D424"/>
  <c r="E424" s="1"/>
  <c r="N1465"/>
  <c r="F175" i="7"/>
  <c r="F173" s="1"/>
  <c r="L994" i="8"/>
  <c r="AL16" i="9"/>
  <c r="I15"/>
  <c r="L201" i="8"/>
  <c r="L995"/>
  <c r="AL17" i="9"/>
  <c r="M1455" i="8"/>
  <c r="K1465"/>
  <c r="O1459"/>
  <c r="P1459" s="1"/>
  <c r="M1463"/>
  <c r="E175" i="7" s="1"/>
  <c r="N1001" i="8"/>
  <c r="N1003" s="1"/>
  <c r="J744"/>
  <c r="K744" s="1"/>
  <c r="M744" s="1"/>
  <c r="K740"/>
  <c r="M740" s="1"/>
  <c r="J746"/>
  <c r="K746" s="1"/>
  <c r="M746" s="1"/>
  <c r="J750"/>
  <c r="K750" s="1"/>
  <c r="M750" s="1"/>
  <c r="K743"/>
  <c r="M743" s="1"/>
  <c r="AL9" i="9"/>
  <c r="L986" i="8"/>
  <c r="L989" s="1"/>
  <c r="D114" i="7" s="1"/>
  <c r="AL10" i="9"/>
  <c r="K989" i="8"/>
  <c r="J619"/>
  <c r="K619" s="1"/>
  <c r="E174" i="7" l="1"/>
  <c r="E173" s="1"/>
  <c r="D174"/>
  <c r="D173" s="1"/>
  <c r="L1465" i="8"/>
  <c r="O742"/>
  <c r="P742" s="1"/>
  <c r="AA16" i="9"/>
  <c r="J747" i="8"/>
  <c r="K747" s="1"/>
  <c r="M1465"/>
  <c r="O986"/>
  <c r="P986" s="1"/>
  <c r="C114" i="7"/>
  <c r="V11" i="9"/>
  <c r="L619" i="8"/>
  <c r="M747" l="1"/>
  <c r="O745"/>
  <c r="P745" s="1"/>
  <c r="J751"/>
  <c r="K751" s="1"/>
  <c r="B99" i="7"/>
  <c r="B87"/>
  <c r="B88"/>
  <c r="L84" i="8"/>
  <c r="J1410"/>
  <c r="K1410" s="1"/>
  <c r="J1406"/>
  <c r="J1407" s="1"/>
  <c r="J1405"/>
  <c r="J1411" s="1"/>
  <c r="K1411" s="1"/>
  <c r="M1411" s="1"/>
  <c r="J1404"/>
  <c r="K1404" s="1"/>
  <c r="M1404" s="1"/>
  <c r="J1403"/>
  <c r="K1403" s="1"/>
  <c r="M1403" s="1"/>
  <c r="J1391"/>
  <c r="J1394" s="1"/>
  <c r="K1394" s="1"/>
  <c r="L1394" s="1"/>
  <c r="J1388"/>
  <c r="K1388" s="1"/>
  <c r="L1388" s="1"/>
  <c r="J1387"/>
  <c r="K1387" s="1"/>
  <c r="L1387" s="1"/>
  <c r="J1385"/>
  <c r="K1385" s="1"/>
  <c r="L1385" s="1"/>
  <c r="J1384"/>
  <c r="J1386" s="1"/>
  <c r="J1383"/>
  <c r="K1383" s="1"/>
  <c r="L1413"/>
  <c r="D169" i="7" s="1"/>
  <c r="D1410" i="8"/>
  <c r="E1410" s="1"/>
  <c r="D1409"/>
  <c r="E1409" s="1"/>
  <c r="D1408"/>
  <c r="E1408" s="1"/>
  <c r="D1407"/>
  <c r="E1407" s="1"/>
  <c r="D1406"/>
  <c r="E1406" s="1"/>
  <c r="D1403"/>
  <c r="E1403" s="1"/>
  <c r="J1226"/>
  <c r="J1225"/>
  <c r="K1224"/>
  <c r="M1224" s="1"/>
  <c r="N853"/>
  <c r="M853"/>
  <c r="J851"/>
  <c r="K851" s="1"/>
  <c r="L851" s="1"/>
  <c r="M843"/>
  <c r="E88" i="7" s="1"/>
  <c r="J739" i="8"/>
  <c r="M1410" l="1"/>
  <c r="O1410" s="1"/>
  <c r="P1410" s="1"/>
  <c r="M751"/>
  <c r="O749"/>
  <c r="P749" s="1"/>
  <c r="AA17" i="9"/>
  <c r="BD15"/>
  <c r="K332" i="8"/>
  <c r="BD16" i="9"/>
  <c r="K1391" i="8"/>
  <c r="L1391" s="1"/>
  <c r="O1391" s="1"/>
  <c r="J1409"/>
  <c r="K1409" s="1"/>
  <c r="M1409" s="1"/>
  <c r="K1407"/>
  <c r="M1407" s="1"/>
  <c r="J1408"/>
  <c r="K1408" s="1"/>
  <c r="M1408" s="1"/>
  <c r="L1383"/>
  <c r="J1390"/>
  <c r="J1393"/>
  <c r="K1393" s="1"/>
  <c r="M1393" s="1"/>
  <c r="K1405"/>
  <c r="M1405" s="1"/>
  <c r="O1403" s="1"/>
  <c r="K1406"/>
  <c r="M1406" s="1"/>
  <c r="O851"/>
  <c r="P851" s="1"/>
  <c r="L853"/>
  <c r="K853"/>
  <c r="O1406" l="1"/>
  <c r="P1406" s="1"/>
  <c r="O1409"/>
  <c r="P1409" s="1"/>
  <c r="O1407"/>
  <c r="P1407" s="1"/>
  <c r="O1408"/>
  <c r="P1408" s="1"/>
  <c r="O332"/>
  <c r="M332"/>
  <c r="M1413"/>
  <c r="BD17" i="9"/>
  <c r="BD14"/>
  <c r="BD7"/>
  <c r="K1413" i="8"/>
  <c r="K1384"/>
  <c r="J1396"/>
  <c r="K1396" s="1"/>
  <c r="L1396" s="1"/>
  <c r="O1394" s="1"/>
  <c r="K1390"/>
  <c r="P1403" l="1"/>
  <c r="N1413"/>
  <c r="F169" i="7" s="1"/>
  <c r="L1390" i="8"/>
  <c r="O1388" s="1"/>
  <c r="BD12" i="9"/>
  <c r="C169" i="7"/>
  <c r="E169"/>
  <c r="L1384" i="8"/>
  <c r="J1389"/>
  <c r="K1386"/>
  <c r="L1386" s="1"/>
  <c r="O1386" s="1"/>
  <c r="P1386" s="1"/>
  <c r="O1383" l="1"/>
  <c r="P1383" s="1"/>
  <c r="K1389"/>
  <c r="M1389" s="1"/>
  <c r="J1392"/>
  <c r="J1395" l="1"/>
  <c r="K1392"/>
  <c r="P1391" l="1"/>
  <c r="M1392"/>
  <c r="N1399"/>
  <c r="P1388"/>
  <c r="K1395"/>
  <c r="J1397"/>
  <c r="K1397" s="1"/>
  <c r="L1397" s="1"/>
  <c r="BD11" i="9" l="1"/>
  <c r="BD23" s="1"/>
  <c r="N1415" i="8"/>
  <c r="F168" i="7"/>
  <c r="F167" s="1"/>
  <c r="P1394" i="8"/>
  <c r="M1395"/>
  <c r="M1399" s="1"/>
  <c r="L1399"/>
  <c r="O1397"/>
  <c r="P1397" s="1"/>
  <c r="K1399"/>
  <c r="K1415" l="1"/>
  <c r="C168" i="7"/>
  <c r="C167" s="1"/>
  <c r="L1415" i="8"/>
  <c r="D168" i="7"/>
  <c r="D167" s="1"/>
  <c r="M1415" i="8"/>
  <c r="E168" i="7"/>
  <c r="E167" s="1"/>
  <c r="K618" i="8" l="1"/>
  <c r="L618" l="1"/>
  <c r="V8" i="9"/>
  <c r="K621" i="8"/>
  <c r="N638"/>
  <c r="J1103"/>
  <c r="J1324"/>
  <c r="K1323"/>
  <c r="M1323" s="1"/>
  <c r="J426"/>
  <c r="J1247"/>
  <c r="J26"/>
  <c r="J24"/>
  <c r="J27"/>
  <c r="J1369"/>
  <c r="J1009"/>
  <c r="J1144"/>
  <c r="J1442"/>
  <c r="K1226"/>
  <c r="M1226" s="1"/>
  <c r="K1221"/>
  <c r="AW14" i="9" s="1"/>
  <c r="M1221" i="8" l="1"/>
  <c r="L621"/>
  <c r="O618"/>
  <c r="P618" s="1"/>
  <c r="K1225"/>
  <c r="M1225" s="1"/>
  <c r="O1224" s="1"/>
  <c r="J1253"/>
  <c r="K793"/>
  <c r="M793" s="1"/>
  <c r="J976"/>
  <c r="J456"/>
  <c r="K1338"/>
  <c r="J321"/>
  <c r="J319"/>
  <c r="K319" s="1"/>
  <c r="M319" s="1"/>
  <c r="J318"/>
  <c r="K318" s="1"/>
  <c r="M318" s="1"/>
  <c r="J317"/>
  <c r="K317" s="1"/>
  <c r="M317" s="1"/>
  <c r="J316"/>
  <c r="K316" s="1"/>
  <c r="M316" s="1"/>
  <c r="J315"/>
  <c r="K315" s="1"/>
  <c r="M315" s="1"/>
  <c r="J273"/>
  <c r="J275"/>
  <c r="J276" s="1"/>
  <c r="J251"/>
  <c r="J52"/>
  <c r="J50"/>
  <c r="J200"/>
  <c r="J152"/>
  <c r="J117"/>
  <c r="J115"/>
  <c r="J1437"/>
  <c r="K1437" s="1"/>
  <c r="M1437" s="1"/>
  <c r="L56"/>
  <c r="J729"/>
  <c r="K729" s="1"/>
  <c r="L729" s="1"/>
  <c r="J728"/>
  <c r="J731" s="1"/>
  <c r="K731" s="1"/>
  <c r="L731" s="1"/>
  <c r="J727"/>
  <c r="K727" s="1"/>
  <c r="L727" s="1"/>
  <c r="J726"/>
  <c r="K726" s="1"/>
  <c r="L726" s="1"/>
  <c r="AA10" i="9" s="1"/>
  <c r="J724" i="8"/>
  <c r="K724" s="1"/>
  <c r="L724" s="1"/>
  <c r="J725"/>
  <c r="K725" s="1"/>
  <c r="L725" s="1"/>
  <c r="N735"/>
  <c r="F78" i="7" s="1"/>
  <c r="M735" i="8"/>
  <c r="E78" i="7" s="1"/>
  <c r="K733" i="8"/>
  <c r="L733" s="1"/>
  <c r="D723"/>
  <c r="O318" l="1"/>
  <c r="P318" s="1"/>
  <c r="O317"/>
  <c r="P317" s="1"/>
  <c r="M1338"/>
  <c r="O315"/>
  <c r="K1229"/>
  <c r="K1231" s="1"/>
  <c r="O1221"/>
  <c r="P1221" s="1"/>
  <c r="M1229"/>
  <c r="M1231" s="1"/>
  <c r="P1224"/>
  <c r="AW17" i="9"/>
  <c r="L1231" i="8"/>
  <c r="AA12" i="9"/>
  <c r="J732" i="8"/>
  <c r="K732" s="1"/>
  <c r="L732" s="1"/>
  <c r="J730"/>
  <c r="K730" s="1"/>
  <c r="L730" s="1"/>
  <c r="K728"/>
  <c r="L728" s="1"/>
  <c r="N1231" l="1"/>
  <c r="P315"/>
  <c r="AA9" i="9"/>
  <c r="AA11"/>
  <c r="L735" i="8"/>
  <c r="K735"/>
  <c r="C78" i="7" l="1"/>
  <c r="J338" i="8"/>
  <c r="O724"/>
  <c r="P724" s="1"/>
  <c r="D78" i="7"/>
  <c r="K338" i="8" l="1"/>
  <c r="P332"/>
  <c r="L342"/>
  <c r="N46"/>
  <c r="J601"/>
  <c r="K601" s="1"/>
  <c r="L601" s="1"/>
  <c r="B68" i="7"/>
  <c r="J264" i="8"/>
  <c r="J675"/>
  <c r="M17" i="9" l="1"/>
  <c r="M338" i="8"/>
  <c r="O337"/>
  <c r="P337" s="1"/>
  <c r="U9" i="9"/>
  <c r="U8"/>
  <c r="J667" i="8"/>
  <c r="J668" s="1"/>
  <c r="J669" s="1"/>
  <c r="K669" s="1"/>
  <c r="N669" s="1"/>
  <c r="J666"/>
  <c r="K666" s="1"/>
  <c r="L666" s="1"/>
  <c r="J664"/>
  <c r="J665" s="1"/>
  <c r="K665" s="1"/>
  <c r="L665" s="1"/>
  <c r="J663"/>
  <c r="K663" s="1"/>
  <c r="J662"/>
  <c r="K662" s="1"/>
  <c r="M662" s="1"/>
  <c r="J660"/>
  <c r="K660" s="1"/>
  <c r="M660" s="1"/>
  <c r="J659"/>
  <c r="K659" s="1"/>
  <c r="M659" s="1"/>
  <c r="J661"/>
  <c r="K661" s="1"/>
  <c r="M661" s="1"/>
  <c r="J656"/>
  <c r="K656" s="1"/>
  <c r="N679"/>
  <c r="F70" i="7" s="1"/>
  <c r="J676" i="8"/>
  <c r="D675"/>
  <c r="E675" s="1"/>
  <c r="K658"/>
  <c r="L658" s="1"/>
  <c r="K657"/>
  <c r="L657" s="1"/>
  <c r="K655"/>
  <c r="N655" s="1"/>
  <c r="K654"/>
  <c r="K653"/>
  <c r="J917"/>
  <c r="K917" s="1"/>
  <c r="M917" s="1"/>
  <c r="O916" s="1"/>
  <c r="P916" l="1"/>
  <c r="AG17" i="9"/>
  <c r="K664" i="8"/>
  <c r="L664" s="1"/>
  <c r="M663"/>
  <c r="L653"/>
  <c r="X7" i="9"/>
  <c r="L656" i="8"/>
  <c r="X9" i="9"/>
  <c r="L654" i="8"/>
  <c r="X8" i="9"/>
  <c r="K676" i="8"/>
  <c r="L676" s="1"/>
  <c r="J677"/>
  <c r="K677" s="1"/>
  <c r="L677" s="1"/>
  <c r="K667"/>
  <c r="M667" s="1"/>
  <c r="K668"/>
  <c r="N668" s="1"/>
  <c r="K675"/>
  <c r="M679" l="1"/>
  <c r="E70" i="7" s="1"/>
  <c r="L675" i="8"/>
  <c r="M671"/>
  <c r="N671"/>
  <c r="X17" i="9"/>
  <c r="L671" i="8"/>
  <c r="X11" i="9"/>
  <c r="O653" i="8"/>
  <c r="P653" s="1"/>
  <c r="K671"/>
  <c r="K679"/>
  <c r="J713"/>
  <c r="K713" s="1"/>
  <c r="J707"/>
  <c r="K707" s="1"/>
  <c r="D69" i="7" l="1"/>
  <c r="C69"/>
  <c r="C70"/>
  <c r="E69"/>
  <c r="N681" i="8"/>
  <c r="M681"/>
  <c r="F69" i="7"/>
  <c r="X23" i="9"/>
  <c r="L713" i="8"/>
  <c r="O713" s="1"/>
  <c r="P713" s="1"/>
  <c r="Z17" i="9"/>
  <c r="L707" i="8"/>
  <c r="O707" s="1"/>
  <c r="P707" s="1"/>
  <c r="Z11" i="9"/>
  <c r="K681" i="8"/>
  <c r="O675"/>
  <c r="P675" s="1"/>
  <c r="L679"/>
  <c r="K175"/>
  <c r="L175" s="1"/>
  <c r="C35" i="7"/>
  <c r="K353" i="8"/>
  <c r="L353" s="1"/>
  <c r="N364"/>
  <c r="J362"/>
  <c r="K362" s="1"/>
  <c r="L362" s="1"/>
  <c r="J361"/>
  <c r="K361" s="1"/>
  <c r="L361" s="1"/>
  <c r="J360"/>
  <c r="K360" s="1"/>
  <c r="L360" s="1"/>
  <c r="J358"/>
  <c r="K358" s="1"/>
  <c r="L358" s="1"/>
  <c r="J357"/>
  <c r="K357" s="1"/>
  <c r="L357" s="1"/>
  <c r="J356"/>
  <c r="K356" s="1"/>
  <c r="L356" s="1"/>
  <c r="J354"/>
  <c r="K354" s="1"/>
  <c r="L354" s="1"/>
  <c r="J352"/>
  <c r="K352" s="1"/>
  <c r="E211"/>
  <c r="D209"/>
  <c r="E209" s="1"/>
  <c r="D207"/>
  <c r="E207" s="1"/>
  <c r="D167"/>
  <c r="N195"/>
  <c r="F23" i="7" s="1"/>
  <c r="K191" i="8"/>
  <c r="K192"/>
  <c r="L192" s="1"/>
  <c r="K193"/>
  <c r="L193" s="1"/>
  <c r="J171"/>
  <c r="K171" s="1"/>
  <c r="L171" s="1"/>
  <c r="J170"/>
  <c r="J172" s="1"/>
  <c r="K172" s="1"/>
  <c r="L172" s="1"/>
  <c r="K173"/>
  <c r="K174"/>
  <c r="L174" s="1"/>
  <c r="J179"/>
  <c r="K179" s="1"/>
  <c r="L179" s="1"/>
  <c r="J178"/>
  <c r="K178" s="1"/>
  <c r="L178" s="1"/>
  <c r="J177"/>
  <c r="K177" s="1"/>
  <c r="J228"/>
  <c r="J233" s="1"/>
  <c r="K233" s="1"/>
  <c r="L233" s="1"/>
  <c r="J227"/>
  <c r="J232" s="1"/>
  <c r="K232" s="1"/>
  <c r="L232" s="1"/>
  <c r="J226"/>
  <c r="K226" s="1"/>
  <c r="L226" s="1"/>
  <c r="J225"/>
  <c r="J230" s="1"/>
  <c r="K230" s="1"/>
  <c r="L230" s="1"/>
  <c r="J222"/>
  <c r="K222" s="1"/>
  <c r="L222" s="1"/>
  <c r="J306"/>
  <c r="J94"/>
  <c r="J97"/>
  <c r="J93"/>
  <c r="J92"/>
  <c r="J1356"/>
  <c r="J1310"/>
  <c r="J1302"/>
  <c r="J1279"/>
  <c r="J688"/>
  <c r="J687"/>
  <c r="J1239"/>
  <c r="J1182"/>
  <c r="J1172"/>
  <c r="J1174" s="1"/>
  <c r="J1119"/>
  <c r="J1092"/>
  <c r="K629"/>
  <c r="J1072"/>
  <c r="J1040"/>
  <c r="J1021"/>
  <c r="J1020"/>
  <c r="J1022" s="1"/>
  <c r="J385"/>
  <c r="J386" s="1"/>
  <c r="J414"/>
  <c r="J413"/>
  <c r="J412"/>
  <c r="J415" s="1"/>
  <c r="J453"/>
  <c r="J443"/>
  <c r="J442"/>
  <c r="K442" s="1"/>
  <c r="J441"/>
  <c r="K441" s="1"/>
  <c r="J439"/>
  <c r="J440"/>
  <c r="K440" s="1"/>
  <c r="L440" s="1"/>
  <c r="J786"/>
  <c r="J782"/>
  <c r="J779"/>
  <c r="J761"/>
  <c r="J762" s="1"/>
  <c r="J929"/>
  <c r="D836"/>
  <c r="E836" s="1"/>
  <c r="J887"/>
  <c r="L887" s="1"/>
  <c r="J506"/>
  <c r="K506" s="1"/>
  <c r="J476"/>
  <c r="L506" l="1"/>
  <c r="I12" i="9"/>
  <c r="I10"/>
  <c r="L352" i="8"/>
  <c r="F38" i="7"/>
  <c r="J455" i="8"/>
  <c r="M887"/>
  <c r="Z23" i="9"/>
  <c r="L629" i="8"/>
  <c r="W7" i="9"/>
  <c r="L173" i="8"/>
  <c r="L191"/>
  <c r="L177"/>
  <c r="L442"/>
  <c r="Q7" i="9"/>
  <c r="L681" i="8"/>
  <c r="D70" i="7"/>
  <c r="Q10" i="9"/>
  <c r="L441" i="8"/>
  <c r="N12" i="9"/>
  <c r="J355" i="8"/>
  <c r="K355" s="1"/>
  <c r="L355" s="1"/>
  <c r="J359"/>
  <c r="K359" s="1"/>
  <c r="L359" s="1"/>
  <c r="J182"/>
  <c r="K182" s="1"/>
  <c r="L182" s="1"/>
  <c r="J186"/>
  <c r="K186" s="1"/>
  <c r="L186" s="1"/>
  <c r="J185"/>
  <c r="K185" s="1"/>
  <c r="L185" s="1"/>
  <c r="K170"/>
  <c r="L170" s="1"/>
  <c r="J181"/>
  <c r="J187"/>
  <c r="K187" s="1"/>
  <c r="L187" s="1"/>
  <c r="J183"/>
  <c r="K183" s="1"/>
  <c r="L183" s="1"/>
  <c r="J231"/>
  <c r="K231" s="1"/>
  <c r="L231" s="1"/>
  <c r="K228"/>
  <c r="L228" s="1"/>
  <c r="K227"/>
  <c r="L227" s="1"/>
  <c r="J885"/>
  <c r="J888"/>
  <c r="L888" s="1"/>
  <c r="O888" s="1"/>
  <c r="K167"/>
  <c r="I8" i="9" s="1"/>
  <c r="E82" i="8"/>
  <c r="J71"/>
  <c r="K71" s="1"/>
  <c r="L71" s="1"/>
  <c r="J70"/>
  <c r="K70" s="1"/>
  <c r="L70" s="1"/>
  <c r="J69"/>
  <c r="K69" s="1"/>
  <c r="L69" s="1"/>
  <c r="J68"/>
  <c r="J67"/>
  <c r="K67" s="1"/>
  <c r="J64"/>
  <c r="D64"/>
  <c r="D51"/>
  <c r="E51" s="1"/>
  <c r="O352" l="1"/>
  <c r="P352" s="1"/>
  <c r="M364"/>
  <c r="P888"/>
  <c r="M888"/>
  <c r="M890" s="1"/>
  <c r="L67"/>
  <c r="N11" i="9"/>
  <c r="N10"/>
  <c r="J190" i="8"/>
  <c r="K190" s="1"/>
  <c r="L190" s="1"/>
  <c r="K181"/>
  <c r="J189"/>
  <c r="K189" s="1"/>
  <c r="L189" s="1"/>
  <c r="L167"/>
  <c r="K68"/>
  <c r="L68" s="1"/>
  <c r="J168"/>
  <c r="K168" s="1"/>
  <c r="E38" i="7" l="1"/>
  <c r="L181" i="8"/>
  <c r="L168"/>
  <c r="J43"/>
  <c r="K43" s="1"/>
  <c r="L43" s="1"/>
  <c r="J42"/>
  <c r="K42" s="1"/>
  <c r="L42" s="1"/>
  <c r="J41"/>
  <c r="K41" s="1"/>
  <c r="L41" s="1"/>
  <c r="J40"/>
  <c r="K40" s="1"/>
  <c r="J39"/>
  <c r="K38"/>
  <c r="E10" i="9" s="1"/>
  <c r="J37" i="8"/>
  <c r="D37"/>
  <c r="D118"/>
  <c r="E118" s="1"/>
  <c r="D92"/>
  <c r="J279"/>
  <c r="M46" l="1"/>
  <c r="J66"/>
  <c r="L40"/>
  <c r="K10"/>
  <c r="L10" s="1"/>
  <c r="K16"/>
  <c r="L16" s="1"/>
  <c r="J15"/>
  <c r="J169" s="1"/>
  <c r="K169" s="1"/>
  <c r="I9" i="9" s="1"/>
  <c r="J14" i="8"/>
  <c r="J13"/>
  <c r="K13" s="1"/>
  <c r="L13" s="1"/>
  <c r="J11"/>
  <c r="J12"/>
  <c r="K12" s="1"/>
  <c r="L12" s="1"/>
  <c r="K9"/>
  <c r="J8"/>
  <c r="K8" s="1"/>
  <c r="J176" l="1"/>
  <c r="K14"/>
  <c r="L14" s="1"/>
  <c r="D9" i="9"/>
  <c r="D12"/>
  <c r="L9" i="8"/>
  <c r="D10" i="9"/>
  <c r="L169" i="8"/>
  <c r="K15"/>
  <c r="L15" s="1"/>
  <c r="L8"/>
  <c r="K11"/>
  <c r="L11" s="1"/>
  <c r="K538"/>
  <c r="L538" s="1"/>
  <c r="J516"/>
  <c r="K516" s="1"/>
  <c r="L516" s="1"/>
  <c r="J483"/>
  <c r="J480"/>
  <c r="J482"/>
  <c r="K482" s="1"/>
  <c r="L482" s="1"/>
  <c r="J510"/>
  <c r="K510" s="1"/>
  <c r="L510" s="1"/>
  <c r="J509"/>
  <c r="K509" s="1"/>
  <c r="L509" s="1"/>
  <c r="K176" l="1"/>
  <c r="L176" s="1"/>
  <c r="J184"/>
  <c r="K184" s="1"/>
  <c r="L184" s="1"/>
  <c r="J180"/>
  <c r="K180" s="1"/>
  <c r="L180" s="1"/>
  <c r="K483"/>
  <c r="N483"/>
  <c r="L483"/>
  <c r="K480"/>
  <c r="L480"/>
  <c r="N480"/>
  <c r="L18"/>
  <c r="K18"/>
  <c r="D11" i="9"/>
  <c r="M18" i="8"/>
  <c r="B164" i="7"/>
  <c r="B56"/>
  <c r="B161"/>
  <c r="B53"/>
  <c r="B158"/>
  <c r="B155"/>
  <c r="B152"/>
  <c r="B71"/>
  <c r="B149"/>
  <c r="B146"/>
  <c r="B143"/>
  <c r="B140"/>
  <c r="B137"/>
  <c r="B74"/>
  <c r="B134"/>
  <c r="B131"/>
  <c r="B128"/>
  <c r="B65"/>
  <c r="B62"/>
  <c r="B59"/>
  <c r="F127"/>
  <c r="B125"/>
  <c r="B122"/>
  <c r="B119"/>
  <c r="B40"/>
  <c r="B116"/>
  <c r="B43"/>
  <c r="B46"/>
  <c r="B113"/>
  <c r="B83"/>
  <c r="B80"/>
  <c r="B110"/>
  <c r="B107"/>
  <c r="B104"/>
  <c r="B101"/>
  <c r="B98"/>
  <c r="B95"/>
  <c r="B92"/>
  <c r="B89"/>
  <c r="B77"/>
  <c r="J188" i="8" l="1"/>
  <c r="K188" s="1"/>
  <c r="L188" s="1"/>
  <c r="J224"/>
  <c r="J229" s="1"/>
  <c r="K229" s="1"/>
  <c r="L229" s="1"/>
  <c r="M195"/>
  <c r="E23" i="7" s="1"/>
  <c r="C8"/>
  <c r="D8"/>
  <c r="E8"/>
  <c r="O167" i="8" l="1"/>
  <c r="P167" s="1"/>
  <c r="K195"/>
  <c r="C23" i="7" s="1"/>
  <c r="I11" i="9"/>
  <c r="L195" i="8"/>
  <c r="D23" i="7" s="1"/>
  <c r="B7"/>
  <c r="J1285" i="8" l="1"/>
  <c r="J694"/>
  <c r="M935"/>
  <c r="E105" i="7" s="1"/>
  <c r="J590" i="8"/>
  <c r="K590" s="1"/>
  <c r="M590" s="1"/>
  <c r="J589"/>
  <c r="K589" s="1"/>
  <c r="M589" s="1"/>
  <c r="J588"/>
  <c r="K588" s="1"/>
  <c r="M588" s="1"/>
  <c r="J587"/>
  <c r="K587" s="1"/>
  <c r="M587" s="1"/>
  <c r="J586"/>
  <c r="K586" s="1"/>
  <c r="M586" s="1"/>
  <c r="J585"/>
  <c r="K585" s="1"/>
  <c r="M585" s="1"/>
  <c r="J584"/>
  <c r="K584" s="1"/>
  <c r="D584"/>
  <c r="J1345"/>
  <c r="J1344"/>
  <c r="K1344" s="1"/>
  <c r="M1344" s="1"/>
  <c r="J1343"/>
  <c r="K1343" s="1"/>
  <c r="M1343" s="1"/>
  <c r="J1342"/>
  <c r="K1342" s="1"/>
  <c r="M1342" s="1"/>
  <c r="J1341"/>
  <c r="K1341" s="1"/>
  <c r="M1341" s="1"/>
  <c r="J1340"/>
  <c r="K1340" s="1"/>
  <c r="M1340" s="1"/>
  <c r="J1339"/>
  <c r="K1339" s="1"/>
  <c r="J82"/>
  <c r="K82" s="1"/>
  <c r="M82" s="1"/>
  <c r="J80"/>
  <c r="K80" s="1"/>
  <c r="M80" s="1"/>
  <c r="J79"/>
  <c r="J81" s="1"/>
  <c r="J78"/>
  <c r="K78" s="1"/>
  <c r="M78" s="1"/>
  <c r="M74"/>
  <c r="K72"/>
  <c r="F12" i="9" s="1"/>
  <c r="K66" i="8"/>
  <c r="L66" s="1"/>
  <c r="K64"/>
  <c r="J54"/>
  <c r="K54" s="1"/>
  <c r="M54" s="1"/>
  <c r="J53"/>
  <c r="K53" s="1"/>
  <c r="J51"/>
  <c r="K51" s="1"/>
  <c r="K52"/>
  <c r="M52" s="1"/>
  <c r="K50"/>
  <c r="M50" s="1"/>
  <c r="K39"/>
  <c r="L39" s="1"/>
  <c r="L38"/>
  <c r="K37"/>
  <c r="E9" i="9" s="1"/>
  <c r="D322" i="8"/>
  <c r="E322" s="1"/>
  <c r="J322"/>
  <c r="K322" s="1"/>
  <c r="M322" s="1"/>
  <c r="I321"/>
  <c r="J320"/>
  <c r="K320" s="1"/>
  <c r="M320" s="1"/>
  <c r="J118"/>
  <c r="K118" s="1"/>
  <c r="K115"/>
  <c r="J111"/>
  <c r="J116" s="1"/>
  <c r="K116" s="1"/>
  <c r="M116" s="1"/>
  <c r="J112"/>
  <c r="J114" s="1"/>
  <c r="K114" s="1"/>
  <c r="M114" s="1"/>
  <c r="K27"/>
  <c r="M27" s="1"/>
  <c r="J23"/>
  <c r="J22"/>
  <c r="J25" s="1"/>
  <c r="K25" s="1"/>
  <c r="M25" s="1"/>
  <c r="E584" l="1"/>
  <c r="D576"/>
  <c r="P576" s="1"/>
  <c r="O115"/>
  <c r="P115" s="1"/>
  <c r="M115"/>
  <c r="O1341"/>
  <c r="P1341" s="1"/>
  <c r="M51"/>
  <c r="O51"/>
  <c r="P51" s="1"/>
  <c r="BB17" i="9"/>
  <c r="M1339" i="8"/>
  <c r="O1338"/>
  <c r="O1343"/>
  <c r="P1343" s="1"/>
  <c r="O584"/>
  <c r="P584" s="1"/>
  <c r="M584"/>
  <c r="M592" s="1"/>
  <c r="M594" s="1"/>
  <c r="O589"/>
  <c r="P589" s="1"/>
  <c r="O322"/>
  <c r="P322" s="1"/>
  <c r="O53"/>
  <c r="P53" s="1"/>
  <c r="M53"/>
  <c r="O1340"/>
  <c r="P1340" s="1"/>
  <c r="O27"/>
  <c r="M118"/>
  <c r="O50"/>
  <c r="P50" s="1"/>
  <c r="O82"/>
  <c r="P82" s="1"/>
  <c r="O1342"/>
  <c r="P1342" s="1"/>
  <c r="O587"/>
  <c r="P587" s="1"/>
  <c r="F9" i="9"/>
  <c r="E17"/>
  <c r="L14"/>
  <c r="E14"/>
  <c r="E99" i="7"/>
  <c r="L1348" i="8"/>
  <c r="E14" i="7"/>
  <c r="F11" i="9"/>
  <c r="E11"/>
  <c r="F14"/>
  <c r="T17"/>
  <c r="T15"/>
  <c r="T14"/>
  <c r="E11" i="7"/>
  <c r="F11"/>
  <c r="L72" i="8"/>
  <c r="L64"/>
  <c r="F93" i="7"/>
  <c r="K592" i="8"/>
  <c r="K594" s="1"/>
  <c r="K1345"/>
  <c r="M1345" s="1"/>
  <c r="J1346"/>
  <c r="K1346" s="1"/>
  <c r="M1346" s="1"/>
  <c r="K79"/>
  <c r="M79" s="1"/>
  <c r="O78" s="1"/>
  <c r="K81"/>
  <c r="M81" s="1"/>
  <c r="O80" s="1"/>
  <c r="K65"/>
  <c r="F10" i="9" s="1"/>
  <c r="L37" i="8"/>
  <c r="K321"/>
  <c r="M321" s="1"/>
  <c r="O320" s="1"/>
  <c r="J113"/>
  <c r="K113" s="1"/>
  <c r="M113" s="1"/>
  <c r="O113" s="1"/>
  <c r="K111"/>
  <c r="M111" s="1"/>
  <c r="K112"/>
  <c r="M112" s="1"/>
  <c r="K23"/>
  <c r="M23" s="1"/>
  <c r="K22"/>
  <c r="M22" s="1"/>
  <c r="K24"/>
  <c r="M24" s="1"/>
  <c r="O111" l="1"/>
  <c r="P111" s="1"/>
  <c r="O22"/>
  <c r="O1344"/>
  <c r="P1344" s="1"/>
  <c r="O24"/>
  <c r="P24" s="1"/>
  <c r="O1346"/>
  <c r="P1346" s="1"/>
  <c r="BB14" i="9"/>
  <c r="D14"/>
  <c r="N324" i="8"/>
  <c r="P113"/>
  <c r="P80"/>
  <c r="L1350"/>
  <c r="K84"/>
  <c r="M84"/>
  <c r="K74"/>
  <c r="N1348"/>
  <c r="L17" i="9"/>
  <c r="M1348" i="8"/>
  <c r="E58" i="7"/>
  <c r="E56" s="1"/>
  <c r="K1348" i="8"/>
  <c r="K324"/>
  <c r="P1338"/>
  <c r="P78"/>
  <c r="D163" i="7"/>
  <c r="K56" i="8"/>
  <c r="L592"/>
  <c r="L594" s="1"/>
  <c r="F17" i="9"/>
  <c r="F23" s="1"/>
  <c r="T23"/>
  <c r="G14"/>
  <c r="C58" i="7"/>
  <c r="N592" i="8"/>
  <c r="L65"/>
  <c r="O64" s="1"/>
  <c r="P64" s="1"/>
  <c r="N74"/>
  <c r="P22" l="1"/>
  <c r="N84"/>
  <c r="N86" s="1"/>
  <c r="M86"/>
  <c r="M1350"/>
  <c r="E15" i="7"/>
  <c r="E13" s="1"/>
  <c r="K86" i="8"/>
  <c r="L74"/>
  <c r="M324"/>
  <c r="E163" i="7"/>
  <c r="M56" i="8"/>
  <c r="D58" i="7"/>
  <c r="K26" i="8"/>
  <c r="M26" s="1"/>
  <c r="O25" s="1"/>
  <c r="P27"/>
  <c r="F58" i="7"/>
  <c r="N594" i="8"/>
  <c r="C14" i="7"/>
  <c r="F14"/>
  <c r="C12"/>
  <c r="C15"/>
  <c r="C163"/>
  <c r="K1350" i="8"/>
  <c r="F163" i="7"/>
  <c r="N1350" i="8"/>
  <c r="N56"/>
  <c r="J119"/>
  <c r="K119" s="1"/>
  <c r="K117"/>
  <c r="M117" s="1"/>
  <c r="O116" s="1"/>
  <c r="M119" l="1"/>
  <c r="M121" s="1"/>
  <c r="O118"/>
  <c r="P118" s="1"/>
  <c r="P25"/>
  <c r="D17" i="9"/>
  <c r="L86" i="8"/>
  <c r="G17" i="9"/>
  <c r="E33" i="7"/>
  <c r="M58" i="8"/>
  <c r="E12" i="7"/>
  <c r="E10" s="1"/>
  <c r="M29" i="8"/>
  <c r="K121"/>
  <c r="K29"/>
  <c r="F12" i="7"/>
  <c r="F10" s="1"/>
  <c r="N58" i="8"/>
  <c r="D12" i="7"/>
  <c r="D14"/>
  <c r="D15"/>
  <c r="C33"/>
  <c r="F15"/>
  <c r="F13" s="1"/>
  <c r="C13"/>
  <c r="L324" i="8"/>
  <c r="N29" l="1"/>
  <c r="F9" i="7" s="1"/>
  <c r="M31" i="8"/>
  <c r="N121"/>
  <c r="F18" i="7" s="1"/>
  <c r="E18"/>
  <c r="P116" i="8"/>
  <c r="E9" i="7"/>
  <c r="E7" s="1"/>
  <c r="C9"/>
  <c r="C7" s="1"/>
  <c r="K31" i="8"/>
  <c r="L29"/>
  <c r="D23" i="9"/>
  <c r="D13" i="7"/>
  <c r="C18"/>
  <c r="F33"/>
  <c r="D33"/>
  <c r="L121" i="8"/>
  <c r="J635"/>
  <c r="J636" s="1"/>
  <c r="K636" s="1"/>
  <c r="J634"/>
  <c r="K634" s="1"/>
  <c r="J633"/>
  <c r="I633"/>
  <c r="J632"/>
  <c r="K632" s="1"/>
  <c r="M632" s="1"/>
  <c r="J631"/>
  <c r="K631" s="1"/>
  <c r="M631" s="1"/>
  <c r="J643"/>
  <c r="K643" s="1"/>
  <c r="N643" s="1"/>
  <c r="O643" s="1"/>
  <c r="J630"/>
  <c r="K630" s="1"/>
  <c r="K350"/>
  <c r="K364" s="1"/>
  <c r="K529"/>
  <c r="L529" s="1"/>
  <c r="K528"/>
  <c r="K527"/>
  <c r="K505"/>
  <c r="N505" s="1"/>
  <c r="J481"/>
  <c r="K471"/>
  <c r="P643" l="1"/>
  <c r="K481"/>
  <c r="L481" s="1"/>
  <c r="L528"/>
  <c r="L527"/>
  <c r="N8" i="9"/>
  <c r="M645" i="8"/>
  <c r="E67" i="7" s="1"/>
  <c r="D9"/>
  <c r="D7" s="1"/>
  <c r="L31" i="8"/>
  <c r="M540"/>
  <c r="E52" i="7" s="1"/>
  <c r="N7" i="9"/>
  <c r="M636" i="8"/>
  <c r="M634"/>
  <c r="D18" i="7"/>
  <c r="N540" i="8"/>
  <c r="F52" i="7" s="1"/>
  <c r="K540" i="8"/>
  <c r="R21" i="9" s="1"/>
  <c r="C21" s="1"/>
  <c r="L350" i="8"/>
  <c r="E68" i="7"/>
  <c r="L630" i="8"/>
  <c r="K635"/>
  <c r="M635" s="1"/>
  <c r="K633"/>
  <c r="M633" s="1"/>
  <c r="N496"/>
  <c r="J836"/>
  <c r="J825"/>
  <c r="J824"/>
  <c r="K824" s="1"/>
  <c r="L824" s="1"/>
  <c r="J827"/>
  <c r="J822"/>
  <c r="J821"/>
  <c r="J818"/>
  <c r="K818" s="1"/>
  <c r="M818" s="1"/>
  <c r="J817"/>
  <c r="K817" s="1"/>
  <c r="M817" s="1"/>
  <c r="J816"/>
  <c r="K816" s="1"/>
  <c r="J820"/>
  <c r="K814"/>
  <c r="AH8" i="9" s="1"/>
  <c r="K813" i="8"/>
  <c r="L813" s="1"/>
  <c r="J812"/>
  <c r="K812" s="1"/>
  <c r="K811"/>
  <c r="L811" s="1"/>
  <c r="K810"/>
  <c r="L810" s="1"/>
  <c r="K809"/>
  <c r="L809" s="1"/>
  <c r="K808"/>
  <c r="L808" s="1"/>
  <c r="K807"/>
  <c r="K501"/>
  <c r="L501" s="1"/>
  <c r="K502"/>
  <c r="L502" s="1"/>
  <c r="K503"/>
  <c r="L503" s="1"/>
  <c r="K504"/>
  <c r="M1271"/>
  <c r="J309"/>
  <c r="K491"/>
  <c r="L491" s="1"/>
  <c r="K490"/>
  <c r="L490" s="1"/>
  <c r="K489"/>
  <c r="K467"/>
  <c r="K468"/>
  <c r="K470"/>
  <c r="L470" s="1"/>
  <c r="M1432"/>
  <c r="E171" i="7" s="1"/>
  <c r="D1356" i="8"/>
  <c r="D562"/>
  <c r="E562" s="1"/>
  <c r="D561"/>
  <c r="E561" s="1"/>
  <c r="M557"/>
  <c r="D1323"/>
  <c r="E1323" s="1"/>
  <c r="D1296"/>
  <c r="L1288"/>
  <c r="D157" i="7" s="1"/>
  <c r="D1285" i="8"/>
  <c r="E1285" s="1"/>
  <c r="N1281"/>
  <c r="F156" i="7" s="1"/>
  <c r="M1281" i="8"/>
  <c r="D694"/>
  <c r="E694" s="1"/>
  <c r="M690"/>
  <c r="J1259"/>
  <c r="K1259" s="1"/>
  <c r="M1259" s="1"/>
  <c r="D320"/>
  <c r="D293"/>
  <c r="M1195"/>
  <c r="N1201"/>
  <c r="F145" i="7" s="1"/>
  <c r="M1201" i="8"/>
  <c r="E145" i="7" s="1"/>
  <c r="D1199" i="8"/>
  <c r="E1199" s="1"/>
  <c r="D1182"/>
  <c r="E1182" s="1"/>
  <c r="N1177"/>
  <c r="F141" i="7" s="1"/>
  <c r="M1177" i="8"/>
  <c r="E141" i="7" s="1"/>
  <c r="D1161" i="8"/>
  <c r="E1161" s="1"/>
  <c r="N1157"/>
  <c r="M1157"/>
  <c r="M715"/>
  <c r="E76" i="7" s="1"/>
  <c r="N709" i="8"/>
  <c r="F75" i="7" s="1"/>
  <c r="M709" i="8"/>
  <c r="M1146"/>
  <c r="E136" i="7" s="1"/>
  <c r="N1140" i="8"/>
  <c r="M1140"/>
  <c r="E135" i="7" s="1"/>
  <c r="D1125" i="8"/>
  <c r="D1127"/>
  <c r="E1127" s="1"/>
  <c r="M1121"/>
  <c r="J1118"/>
  <c r="D276"/>
  <c r="E276" s="1"/>
  <c r="D272"/>
  <c r="E272" s="1"/>
  <c r="J265"/>
  <c r="J260"/>
  <c r="K260" s="1"/>
  <c r="D260"/>
  <c r="D255"/>
  <c r="D251"/>
  <c r="D1106"/>
  <c r="E1106" s="1"/>
  <c r="D1100"/>
  <c r="E1100" s="1"/>
  <c r="L812" l="1"/>
  <c r="J839"/>
  <c r="K839" s="1"/>
  <c r="N839" s="1"/>
  <c r="J837"/>
  <c r="K825"/>
  <c r="L825" s="1"/>
  <c r="J826"/>
  <c r="K826" s="1"/>
  <c r="L826" s="1"/>
  <c r="R8" i="9"/>
  <c r="R14"/>
  <c r="E165" i="7"/>
  <c r="O350" i="8"/>
  <c r="P350" s="1"/>
  <c r="L364"/>
  <c r="P320"/>
  <c r="E320"/>
  <c r="K827"/>
  <c r="L827" s="1"/>
  <c r="J828"/>
  <c r="F50" i="7"/>
  <c r="M638" i="8"/>
  <c r="F66" i="7"/>
  <c r="C38"/>
  <c r="O629" i="8"/>
  <c r="P629" s="1"/>
  <c r="C52" i="7"/>
  <c r="E154"/>
  <c r="M1273" i="8"/>
  <c r="F148" i="7"/>
  <c r="F146" s="1"/>
  <c r="L467" i="8"/>
  <c r="R7" i="9" s="1"/>
  <c r="L540" i="8"/>
  <c r="D52" i="7" s="1"/>
  <c r="E134"/>
  <c r="N1146" i="8"/>
  <c r="F135" i="7"/>
  <c r="L468" i="8"/>
  <c r="E132" i="7"/>
  <c r="M1203" i="8"/>
  <c r="E144" i="7"/>
  <c r="E143" s="1"/>
  <c r="E54"/>
  <c r="L816" i="8"/>
  <c r="E138" i="7"/>
  <c r="E156"/>
  <c r="N814" i="8"/>
  <c r="N832" s="1"/>
  <c r="L260"/>
  <c r="E72" i="7"/>
  <c r="M717" i="8"/>
  <c r="E75" i="7"/>
  <c r="E74" s="1"/>
  <c r="F138"/>
  <c r="L489" i="8"/>
  <c r="L807"/>
  <c r="K836"/>
  <c r="L638"/>
  <c r="M1148"/>
  <c r="N621"/>
  <c r="M621"/>
  <c r="M610"/>
  <c r="D608"/>
  <c r="E608" s="1"/>
  <c r="N604"/>
  <c r="F60" i="7" s="1"/>
  <c r="M604" i="8"/>
  <c r="E60" i="7" s="1"/>
  <c r="M1080" i="8"/>
  <c r="E127" i="7" s="1"/>
  <c r="D1078" i="8"/>
  <c r="E1078" s="1"/>
  <c r="N1074"/>
  <c r="M1064"/>
  <c r="E124" i="7" s="1"/>
  <c r="N1042" i="8"/>
  <c r="M1042"/>
  <c r="M394"/>
  <c r="N1012"/>
  <c r="M1012"/>
  <c r="M420"/>
  <c r="D454"/>
  <c r="E454" s="1"/>
  <c r="M235"/>
  <c r="E26" i="7" s="1"/>
  <c r="D797" i="8"/>
  <c r="E797" s="1"/>
  <c r="D796"/>
  <c r="E796" s="1"/>
  <c r="D793"/>
  <c r="E793" s="1"/>
  <c r="J781"/>
  <c r="K781" s="1"/>
  <c r="N771"/>
  <c r="F82" i="7" s="1"/>
  <c r="M771" i="8"/>
  <c r="E82" i="7" s="1"/>
  <c r="N764" i="8"/>
  <c r="M764"/>
  <c r="M978"/>
  <c r="E112" i="7" s="1"/>
  <c r="D976" i="8"/>
  <c r="E976" s="1"/>
  <c r="M972"/>
  <c r="D941"/>
  <c r="E941" s="1"/>
  <c r="K837" l="1"/>
  <c r="J838"/>
  <c r="K838" s="1"/>
  <c r="L838" s="1"/>
  <c r="K828"/>
  <c r="L829" s="1"/>
  <c r="J829"/>
  <c r="K829" s="1"/>
  <c r="AH7" i="9"/>
  <c r="J840" i="8"/>
  <c r="J841" s="1"/>
  <c r="K841" s="1"/>
  <c r="N841" s="1"/>
  <c r="L781"/>
  <c r="M647"/>
  <c r="L836"/>
  <c r="N1573"/>
  <c r="E66" i="7"/>
  <c r="E65" s="1"/>
  <c r="K638" i="8"/>
  <c r="D38" i="7"/>
  <c r="W11" i="9"/>
  <c r="E61" i="7"/>
  <c r="E59" s="1"/>
  <c r="M612" i="8"/>
  <c r="E152" i="7"/>
  <c r="D66"/>
  <c r="E63"/>
  <c r="E62" s="1"/>
  <c r="M623" i="8"/>
  <c r="F63" i="7"/>
  <c r="F62" s="1"/>
  <c r="N623" i="8"/>
  <c r="F118" i="7"/>
  <c r="N1014" i="8"/>
  <c r="E118" i="7"/>
  <c r="E116" s="1"/>
  <c r="M1014" i="8"/>
  <c r="F115" i="7"/>
  <c r="N1148" i="8"/>
  <c r="F136" i="7"/>
  <c r="F134" s="1"/>
  <c r="N773" i="8"/>
  <c r="F81" i="7"/>
  <c r="E44"/>
  <c r="N1082" i="8"/>
  <c r="F126" i="7"/>
  <c r="F125" s="1"/>
  <c r="M1066" i="8"/>
  <c r="E123" i="7"/>
  <c r="E122" s="1"/>
  <c r="M980" i="8"/>
  <c r="E111" i="7"/>
  <c r="E110" s="1"/>
  <c r="M773" i="8"/>
  <c r="E81" i="7"/>
  <c r="E80" s="1"/>
  <c r="E41"/>
  <c r="F123"/>
  <c r="J785" i="8"/>
  <c r="K785" s="1"/>
  <c r="L785" s="1"/>
  <c r="D904"/>
  <c r="E904" s="1"/>
  <c r="D903"/>
  <c r="E903" s="1"/>
  <c r="E899"/>
  <c r="J886"/>
  <c r="K886" s="1"/>
  <c r="L828" l="1"/>
  <c r="L837"/>
  <c r="K840"/>
  <c r="AC9" i="9"/>
  <c r="F87" i="7"/>
  <c r="C66"/>
  <c r="AF9" i="9"/>
  <c r="L886" i="8"/>
  <c r="W17" i="9"/>
  <c r="W23" s="1"/>
  <c r="D157" i="8"/>
  <c r="E157" s="1"/>
  <c r="D155"/>
  <c r="E155" s="1"/>
  <c r="D150"/>
  <c r="E150" s="1"/>
  <c r="M855"/>
  <c r="N840" l="1"/>
  <c r="K843"/>
  <c r="C88" i="7" s="1"/>
  <c r="L832" i="8"/>
  <c r="O807" s="1"/>
  <c r="AH17" i="9"/>
  <c r="O886" i="8"/>
  <c r="P886" s="1"/>
  <c r="K645"/>
  <c r="E90" i="7"/>
  <c r="E89" s="1"/>
  <c r="E93"/>
  <c r="D87" l="1"/>
  <c r="D500" i="8"/>
  <c r="D527" l="1"/>
  <c r="E527" s="1"/>
  <c r="E501"/>
  <c r="J493"/>
  <c r="K493" s="1"/>
  <c r="L493" s="1"/>
  <c r="N690" l="1"/>
  <c r="F72" i="7" s="1"/>
  <c r="N855" i="8"/>
  <c r="K855"/>
  <c r="J1258"/>
  <c r="J277"/>
  <c r="K277" s="1"/>
  <c r="J283"/>
  <c r="K283" s="1"/>
  <c r="M283" s="1"/>
  <c r="J282"/>
  <c r="K282" s="1"/>
  <c r="M282" s="1"/>
  <c r="J272"/>
  <c r="J281"/>
  <c r="K281" s="1"/>
  <c r="M281" s="1"/>
  <c r="J280"/>
  <c r="K280" s="1"/>
  <c r="M280" s="1"/>
  <c r="K279"/>
  <c r="M279" s="1"/>
  <c r="J1106"/>
  <c r="J241"/>
  <c r="J796"/>
  <c r="J797" s="1"/>
  <c r="J209"/>
  <c r="J919"/>
  <c r="J918"/>
  <c r="K901"/>
  <c r="M901" s="1"/>
  <c r="K899"/>
  <c r="M899" s="1"/>
  <c r="J870"/>
  <c r="J150"/>
  <c r="J340"/>
  <c r="J339"/>
  <c r="M277" l="1"/>
  <c r="O280"/>
  <c r="P280" s="1"/>
  <c r="O282"/>
  <c r="P282" s="1"/>
  <c r="O281"/>
  <c r="P281" s="1"/>
  <c r="O283"/>
  <c r="P283" s="1"/>
  <c r="O279"/>
  <c r="P279" s="1"/>
  <c r="D90" i="7"/>
  <c r="L855" i="8"/>
  <c r="F90" i="7"/>
  <c r="F89" s="1"/>
  <c r="C56"/>
  <c r="C90"/>
  <c r="AD12" i="9"/>
  <c r="K647" i="8"/>
  <c r="C67" i="7"/>
  <c r="C65" s="1"/>
  <c r="O8" i="8"/>
  <c r="P8" s="1"/>
  <c r="J134"/>
  <c r="J133"/>
  <c r="J132"/>
  <c r="N645" l="1"/>
  <c r="L645"/>
  <c r="J140"/>
  <c r="J1429"/>
  <c r="K1429" s="1"/>
  <c r="BE11" i="9" s="1"/>
  <c r="J1430" i="8"/>
  <c r="K1430" s="1"/>
  <c r="J1428"/>
  <c r="K1428" s="1"/>
  <c r="BE9" i="9" s="1"/>
  <c r="J1427" i="8"/>
  <c r="K1427" s="1"/>
  <c r="BE7" i="9" s="1"/>
  <c r="K1442" i="8"/>
  <c r="M1442" s="1"/>
  <c r="J550"/>
  <c r="K550" s="1"/>
  <c r="S12" i="9" s="1"/>
  <c r="J1312" i="8"/>
  <c r="K1312" s="1"/>
  <c r="M1312" s="1"/>
  <c r="J1296"/>
  <c r="J452"/>
  <c r="K452" s="1"/>
  <c r="K822"/>
  <c r="M822" s="1"/>
  <c r="K821"/>
  <c r="M821" s="1"/>
  <c r="K820"/>
  <c r="M820" s="1"/>
  <c r="J511"/>
  <c r="K511" s="1"/>
  <c r="J370"/>
  <c r="J472"/>
  <c r="K472" s="1"/>
  <c r="J519"/>
  <c r="K519" s="1"/>
  <c r="L519" s="1"/>
  <c r="J514"/>
  <c r="K514" s="1"/>
  <c r="L514" s="1"/>
  <c r="J515"/>
  <c r="K515" s="1"/>
  <c r="L515" s="1"/>
  <c r="J485"/>
  <c r="J484"/>
  <c r="K484" s="1"/>
  <c r="L484" s="1"/>
  <c r="J513"/>
  <c r="K513" s="1"/>
  <c r="L513" s="1"/>
  <c r="J507"/>
  <c r="J508" s="1"/>
  <c r="J512"/>
  <c r="K512" s="1"/>
  <c r="J477"/>
  <c r="K477" s="1"/>
  <c r="J211"/>
  <c r="J904"/>
  <c r="J147"/>
  <c r="K147" s="1"/>
  <c r="H16" i="9" s="1"/>
  <c r="J1199" i="8"/>
  <c r="K1199" s="1"/>
  <c r="AV17" i="9" s="1"/>
  <c r="J1193" i="8"/>
  <c r="K1193" s="1"/>
  <c r="J564"/>
  <c r="J548"/>
  <c r="K548" s="1"/>
  <c r="S7" i="9" s="1"/>
  <c r="J555" i="8"/>
  <c r="K555" s="1"/>
  <c r="L555" s="1"/>
  <c r="O555" s="1"/>
  <c r="P555" s="1"/>
  <c r="J553"/>
  <c r="K553" s="1"/>
  <c r="L553" s="1"/>
  <c r="J551"/>
  <c r="K551" s="1"/>
  <c r="J1161"/>
  <c r="K1161" s="1"/>
  <c r="J1155"/>
  <c r="K1155" s="1"/>
  <c r="L1155" s="1"/>
  <c r="J1154"/>
  <c r="K1154" s="1"/>
  <c r="O1442" l="1"/>
  <c r="M452"/>
  <c r="L1430"/>
  <c r="BE12" i="9"/>
  <c r="AT11"/>
  <c r="L1427" i="8"/>
  <c r="K1432"/>
  <c r="R9" i="9"/>
  <c r="L1161" i="8"/>
  <c r="L1428"/>
  <c r="L1429"/>
  <c r="Q15" i="9"/>
  <c r="K485" i="8"/>
  <c r="L485" s="1"/>
  <c r="J487"/>
  <c r="S9" i="9"/>
  <c r="L551" i="8"/>
  <c r="L550"/>
  <c r="L512"/>
  <c r="N647"/>
  <c r="F67" i="7"/>
  <c r="F65" s="1"/>
  <c r="L147" i="8"/>
  <c r="L477"/>
  <c r="L647"/>
  <c r="D67" i="7"/>
  <c r="D65" s="1"/>
  <c r="L1193" i="8"/>
  <c r="O1193" s="1"/>
  <c r="P1193" s="1"/>
  <c r="AV11" i="9"/>
  <c r="AV23" s="1"/>
  <c r="L472" i="8"/>
  <c r="L548"/>
  <c r="L1199"/>
  <c r="O1199" s="1"/>
  <c r="P1199" s="1"/>
  <c r="K1201"/>
  <c r="L1154"/>
  <c r="O1154" s="1"/>
  <c r="P1154" s="1"/>
  <c r="L511"/>
  <c r="J823"/>
  <c r="K823" s="1"/>
  <c r="M823" s="1"/>
  <c r="K494"/>
  <c r="L494" s="1"/>
  <c r="J521"/>
  <c r="K521" s="1"/>
  <c r="L521" s="1"/>
  <c r="J478"/>
  <c r="J520"/>
  <c r="J518"/>
  <c r="K518" s="1"/>
  <c r="L518" s="1"/>
  <c r="J517"/>
  <c r="K517" s="1"/>
  <c r="L517" s="1"/>
  <c r="K507"/>
  <c r="J549"/>
  <c r="K1157"/>
  <c r="J149"/>
  <c r="J148"/>
  <c r="J146"/>
  <c r="K146" s="1"/>
  <c r="H15" i="9" s="1"/>
  <c r="J157" i="8"/>
  <c r="K157" s="1"/>
  <c r="M157" s="1"/>
  <c r="J155"/>
  <c r="K155" s="1"/>
  <c r="J153"/>
  <c r="K153" s="1"/>
  <c r="K152"/>
  <c r="M152" s="1"/>
  <c r="J136"/>
  <c r="J138"/>
  <c r="J129"/>
  <c r="J139" s="1"/>
  <c r="J1307"/>
  <c r="J1300"/>
  <c r="J1309"/>
  <c r="J1240"/>
  <c r="J1237"/>
  <c r="J1238"/>
  <c r="J300"/>
  <c r="J102"/>
  <c r="K102" s="1"/>
  <c r="L102" s="1"/>
  <c r="J444"/>
  <c r="K444" s="1"/>
  <c r="J1173"/>
  <c r="J1440"/>
  <c r="K1440" s="1"/>
  <c r="M1440" s="1"/>
  <c r="K1436"/>
  <c r="F31" i="14"/>
  <c r="D31"/>
  <c r="C31"/>
  <c r="J1368" i="8"/>
  <c r="K1368" s="1"/>
  <c r="M1368" s="1"/>
  <c r="I1367"/>
  <c r="K1367" s="1"/>
  <c r="I33" i="14"/>
  <c r="J552" i="8"/>
  <c r="K552" s="1"/>
  <c r="L552" s="1"/>
  <c r="J1327"/>
  <c r="J1328" s="1"/>
  <c r="J1325"/>
  <c r="J1269"/>
  <c r="J697"/>
  <c r="K697" s="1"/>
  <c r="M697" s="1"/>
  <c r="J696"/>
  <c r="K696" s="1"/>
  <c r="M696" s="1"/>
  <c r="J695"/>
  <c r="K695" s="1"/>
  <c r="M695" s="1"/>
  <c r="K694"/>
  <c r="J1249"/>
  <c r="J297"/>
  <c r="I32" i="14"/>
  <c r="J96" i="8"/>
  <c r="J1127"/>
  <c r="J254"/>
  <c r="J1094"/>
  <c r="J389"/>
  <c r="J418"/>
  <c r="J416"/>
  <c r="J371"/>
  <c r="J369"/>
  <c r="J454"/>
  <c r="J438"/>
  <c r="J239"/>
  <c r="J221"/>
  <c r="J780"/>
  <c r="J784" s="1"/>
  <c r="J955"/>
  <c r="J941"/>
  <c r="J207"/>
  <c r="J205"/>
  <c r="J903"/>
  <c r="O157" l="1"/>
  <c r="P157" s="1"/>
  <c r="M1367"/>
  <c r="O152"/>
  <c r="O694"/>
  <c r="P694" s="1"/>
  <c r="M694"/>
  <c r="M699" s="1"/>
  <c r="M155"/>
  <c r="M153"/>
  <c r="O1161"/>
  <c r="P1161" s="1"/>
  <c r="AT17" i="9"/>
  <c r="L1432" i="8"/>
  <c r="M1436"/>
  <c r="O1436" s="1"/>
  <c r="P1436" s="1"/>
  <c r="K487"/>
  <c r="L487" s="1"/>
  <c r="J488"/>
  <c r="K488" s="1"/>
  <c r="L488" s="1"/>
  <c r="BC15" i="9"/>
  <c r="BC16"/>
  <c r="BE14"/>
  <c r="N1163" i="8"/>
  <c r="K520"/>
  <c r="R17" i="9" s="1"/>
  <c r="L520" i="8"/>
  <c r="M520"/>
  <c r="M523" s="1"/>
  <c r="E51" i="7" s="1"/>
  <c r="C138"/>
  <c r="C171"/>
  <c r="C145"/>
  <c r="O1427" i="8"/>
  <c r="P1427" s="1"/>
  <c r="N523"/>
  <c r="F51" i="7" s="1"/>
  <c r="F49" s="1"/>
  <c r="Y14" i="9"/>
  <c r="Y17"/>
  <c r="Y16"/>
  <c r="Y15"/>
  <c r="L444" i="8"/>
  <c r="Q12" i="9"/>
  <c r="H14"/>
  <c r="O551" i="8"/>
  <c r="P551" s="1"/>
  <c r="N1432"/>
  <c r="F171" i="7" s="1"/>
  <c r="J819" i="8"/>
  <c r="K819" s="1"/>
  <c r="J486"/>
  <c r="K486" s="1"/>
  <c r="L486" s="1"/>
  <c r="L507"/>
  <c r="K699"/>
  <c r="L1201"/>
  <c r="K1163"/>
  <c r="L1163"/>
  <c r="K549"/>
  <c r="K478"/>
  <c r="J479"/>
  <c r="K479" s="1"/>
  <c r="L479" s="1"/>
  <c r="K476"/>
  <c r="K508"/>
  <c r="L508" s="1"/>
  <c r="L146"/>
  <c r="J154"/>
  <c r="K149"/>
  <c r="L149" s="1"/>
  <c r="J151"/>
  <c r="K151" s="1"/>
  <c r="K148"/>
  <c r="J130"/>
  <c r="J131" s="1"/>
  <c r="J135"/>
  <c r="K1369"/>
  <c r="J554"/>
  <c r="K554" s="1"/>
  <c r="L554" s="1"/>
  <c r="O553" s="1"/>
  <c r="P553" s="1"/>
  <c r="AH11" i="9" l="1"/>
  <c r="AH23" s="1"/>
  <c r="K832" i="8"/>
  <c r="BC17" i="9"/>
  <c r="M1369" i="8"/>
  <c r="M1375" s="1"/>
  <c r="M1377" s="1"/>
  <c r="E166" i="7" s="1"/>
  <c r="E164" s="1"/>
  <c r="M151" i="8"/>
  <c r="O150"/>
  <c r="O1367"/>
  <c r="P1367" s="1"/>
  <c r="R11" i="9"/>
  <c r="K1375" i="8"/>
  <c r="C166" i="7" s="1"/>
  <c r="R16" i="9"/>
  <c r="F139" i="7"/>
  <c r="F137" s="1"/>
  <c r="N1165" i="8"/>
  <c r="O148"/>
  <c r="P148" s="1"/>
  <c r="P150"/>
  <c r="D139" i="7"/>
  <c r="E73"/>
  <c r="E71" s="1"/>
  <c r="D145"/>
  <c r="D171"/>
  <c r="M1163" i="8"/>
  <c r="E139" i="7" s="1"/>
  <c r="E137" s="1"/>
  <c r="L148" i="8"/>
  <c r="O146" s="1"/>
  <c r="P146" s="1"/>
  <c r="N542"/>
  <c r="M819"/>
  <c r="M832" s="1"/>
  <c r="M701"/>
  <c r="L549"/>
  <c r="O548" s="1"/>
  <c r="P548" s="1"/>
  <c r="S11" i="9"/>
  <c r="P152" i="8"/>
  <c r="O500"/>
  <c r="P500" s="1"/>
  <c r="K523"/>
  <c r="L523"/>
  <c r="L478"/>
  <c r="K1165"/>
  <c r="C139" i="7"/>
  <c r="C137" s="1"/>
  <c r="C73"/>
  <c r="AT23" i="9"/>
  <c r="N557" i="8"/>
  <c r="F54" i="7" s="1"/>
  <c r="K557" i="8"/>
  <c r="L699"/>
  <c r="D73" i="7" s="1"/>
  <c r="L1157" i="8"/>
  <c r="L476"/>
  <c r="K473"/>
  <c r="J474"/>
  <c r="J156"/>
  <c r="K156" s="1"/>
  <c r="K154"/>
  <c r="M154" l="1"/>
  <c r="O153"/>
  <c r="P153" s="1"/>
  <c r="M156"/>
  <c r="O155"/>
  <c r="P155" s="1"/>
  <c r="N1375"/>
  <c r="F166" i="7" s="1"/>
  <c r="C87"/>
  <c r="C86" s="1"/>
  <c r="C51"/>
  <c r="D51"/>
  <c r="E87"/>
  <c r="E86" s="1"/>
  <c r="C54"/>
  <c r="M1165" i="8"/>
  <c r="H17" i="9"/>
  <c r="M845" i="8"/>
  <c r="L557"/>
  <c r="P807"/>
  <c r="J1439"/>
  <c r="J1441"/>
  <c r="K845"/>
  <c r="C68" i="7"/>
  <c r="L1165" i="8"/>
  <c r="D138" i="7"/>
  <c r="D137" s="1"/>
  <c r="L473" i="8"/>
  <c r="K474"/>
  <c r="L474" s="1"/>
  <c r="J475"/>
  <c r="K475" s="1"/>
  <c r="K159"/>
  <c r="M159" l="1"/>
  <c r="R10" i="9"/>
  <c r="K1439" i="8"/>
  <c r="M1439" s="1"/>
  <c r="O1438" s="1"/>
  <c r="L1444"/>
  <c r="D54" i="7"/>
  <c r="D166"/>
  <c r="M496" i="8"/>
  <c r="E50" i="7" s="1"/>
  <c r="E49" s="1"/>
  <c r="L475" i="8"/>
  <c r="C21" i="7"/>
  <c r="L159" i="8"/>
  <c r="N159"/>
  <c r="E21" i="7" l="1"/>
  <c r="P1438" i="8"/>
  <c r="D172" i="7"/>
  <c r="D170" s="1"/>
  <c r="L1446" i="8"/>
  <c r="D21" i="7"/>
  <c r="F21"/>
  <c r="M542" i="8"/>
  <c r="K1441"/>
  <c r="M1441" s="1"/>
  <c r="O1440" s="1"/>
  <c r="BE17" i="9" l="1"/>
  <c r="BE23" s="1"/>
  <c r="P1440" i="8"/>
  <c r="P1442"/>
  <c r="K1444"/>
  <c r="K1446" s="1"/>
  <c r="K564"/>
  <c r="M564" s="1"/>
  <c r="K561"/>
  <c r="M561" s="1"/>
  <c r="K1325"/>
  <c r="M1325" s="1"/>
  <c r="K1327"/>
  <c r="M1327" s="1"/>
  <c r="K1328"/>
  <c r="M1328" s="1"/>
  <c r="K1318"/>
  <c r="K1297"/>
  <c r="K1296"/>
  <c r="K1309"/>
  <c r="BA12" i="9" s="1"/>
  <c r="K1285" i="8"/>
  <c r="M1285" s="1"/>
  <c r="I274"/>
  <c r="I273"/>
  <c r="K275"/>
  <c r="K264"/>
  <c r="L264" s="1"/>
  <c r="K389"/>
  <c r="K1246"/>
  <c r="K1249"/>
  <c r="K1253"/>
  <c r="M1253" s="1"/>
  <c r="J1251"/>
  <c r="K1251" s="1"/>
  <c r="K1258"/>
  <c r="K1238"/>
  <c r="AX10" i="9" s="1"/>
  <c r="K1240" i="8"/>
  <c r="AX12" i="9" s="1"/>
  <c r="K297" i="8"/>
  <c r="L297" s="1"/>
  <c r="K309"/>
  <c r="M309" s="1"/>
  <c r="K305"/>
  <c r="L305" s="1"/>
  <c r="K300"/>
  <c r="J293"/>
  <c r="K293" s="1"/>
  <c r="K306"/>
  <c r="L306" s="1"/>
  <c r="J105"/>
  <c r="K105" s="1"/>
  <c r="L105" s="1"/>
  <c r="J298"/>
  <c r="K92"/>
  <c r="K1173"/>
  <c r="AU10" i="9" s="1"/>
  <c r="K1171" i="8"/>
  <c r="AU7" i="9" s="1"/>
  <c r="K1127" i="8"/>
  <c r="K386"/>
  <c r="O9" i="9" s="1"/>
  <c r="N1242" i="8"/>
  <c r="F150" i="7" s="1"/>
  <c r="N1195" i="8"/>
  <c r="L1195"/>
  <c r="K1195"/>
  <c r="N18"/>
  <c r="N843"/>
  <c r="F88" i="7" s="1"/>
  <c r="F86" s="1"/>
  <c r="L843" i="8"/>
  <c r="K872"/>
  <c r="M872" s="1"/>
  <c r="O872" s="1"/>
  <c r="K870"/>
  <c r="K132"/>
  <c r="H9" i="9" s="1"/>
  <c r="K133" i="8"/>
  <c r="K134"/>
  <c r="L134" s="1"/>
  <c r="K129"/>
  <c r="K130"/>
  <c r="K131"/>
  <c r="K135"/>
  <c r="L135" s="1"/>
  <c r="K136"/>
  <c r="L136" s="1"/>
  <c r="K139"/>
  <c r="M139" s="1"/>
  <c r="K140"/>
  <c r="M140" s="1"/>
  <c r="K138"/>
  <c r="L138" s="1"/>
  <c r="O138" s="1"/>
  <c r="J1117"/>
  <c r="K1100"/>
  <c r="L1100" s="1"/>
  <c r="J388"/>
  <c r="J391" s="1"/>
  <c r="K391" s="1"/>
  <c r="L391" s="1"/>
  <c r="K370"/>
  <c r="K371"/>
  <c r="K221"/>
  <c r="J9" i="9" s="1"/>
  <c r="K456" i="8"/>
  <c r="M456" s="1"/>
  <c r="K438"/>
  <c r="K239"/>
  <c r="M239" s="1"/>
  <c r="K241"/>
  <c r="M241" s="1"/>
  <c r="K797"/>
  <c r="M797" s="1"/>
  <c r="K784"/>
  <c r="L784" s="1"/>
  <c r="J783"/>
  <c r="K976"/>
  <c r="AK14" i="9" s="1"/>
  <c r="J970" i="8"/>
  <c r="K207"/>
  <c r="K209"/>
  <c r="K211"/>
  <c r="M211" s="1"/>
  <c r="O797" l="1"/>
  <c r="O1328"/>
  <c r="P1328" s="1"/>
  <c r="O561"/>
  <c r="O1327"/>
  <c r="P1327" s="1"/>
  <c r="M1249"/>
  <c r="M1127"/>
  <c r="M1318"/>
  <c r="O456"/>
  <c r="M1251"/>
  <c r="M207"/>
  <c r="M275"/>
  <c r="O275"/>
  <c r="P275" s="1"/>
  <c r="M209"/>
  <c r="O241"/>
  <c r="P241" s="1"/>
  <c r="O1253"/>
  <c r="P1253" s="1"/>
  <c r="O211"/>
  <c r="P211" s="1"/>
  <c r="M1258"/>
  <c r="O1258"/>
  <c r="P1258" s="1"/>
  <c r="M870"/>
  <c r="AE14" i="9"/>
  <c r="L370" i="8"/>
  <c r="N16" i="9"/>
  <c r="L371" i="8"/>
  <c r="Q9" i="9"/>
  <c r="BA14"/>
  <c r="AX14"/>
  <c r="P872" i="8"/>
  <c r="S14" i="9"/>
  <c r="C172" i="7"/>
  <c r="C170" s="1"/>
  <c r="O836" i="8"/>
  <c r="P836" s="1"/>
  <c r="D88" i="7"/>
  <c r="D86" s="1"/>
  <c r="K368" i="8"/>
  <c r="S16" i="9"/>
  <c r="AZ14"/>
  <c r="L7"/>
  <c r="J787" i="8"/>
  <c r="K787" s="1"/>
  <c r="L787" s="1"/>
  <c r="O784" s="1"/>
  <c r="L783"/>
  <c r="H7" i="9"/>
  <c r="M142" i="8"/>
  <c r="AK7" i="9"/>
  <c r="N31" i="8"/>
  <c r="H10" i="9"/>
  <c r="J14"/>
  <c r="H11"/>
  <c r="F8" i="7"/>
  <c r="F7" s="1"/>
  <c r="L438" i="8"/>
  <c r="K970"/>
  <c r="L970" s="1"/>
  <c r="AK12" i="9"/>
  <c r="L12"/>
  <c r="N1444" i="8"/>
  <c r="L1297"/>
  <c r="BA8" i="9"/>
  <c r="C8" s="1"/>
  <c r="L1309" i="8"/>
  <c r="L1203"/>
  <c r="D144" i="7"/>
  <c r="D143" s="1"/>
  <c r="L1240" i="8"/>
  <c r="L132"/>
  <c r="AR14" i="9"/>
  <c r="F68" i="7"/>
  <c r="L300" i="8"/>
  <c r="L1238"/>
  <c r="K1203"/>
  <c r="C144" i="7"/>
  <c r="C143" s="1"/>
  <c r="L386" i="8"/>
  <c r="L92"/>
  <c r="L133"/>
  <c r="N1203"/>
  <c r="F144" i="7"/>
  <c r="F143" s="1"/>
  <c r="F56"/>
  <c r="L1173" i="8"/>
  <c r="L389"/>
  <c r="N845"/>
  <c r="L845"/>
  <c r="M1444"/>
  <c r="L1246"/>
  <c r="L293"/>
  <c r="L221"/>
  <c r="L1296"/>
  <c r="L1171"/>
  <c r="N976"/>
  <c r="L131"/>
  <c r="O131" s="1"/>
  <c r="P131" s="1"/>
  <c r="L129"/>
  <c r="O129" s="1"/>
  <c r="P129" s="1"/>
  <c r="L130"/>
  <c r="O130" s="1"/>
  <c r="P130" s="1"/>
  <c r="K272"/>
  <c r="K276"/>
  <c r="M276" s="1"/>
  <c r="K1310"/>
  <c r="L1310" s="1"/>
  <c r="O1310" s="1"/>
  <c r="J255"/>
  <c r="K255" s="1"/>
  <c r="L255" s="1"/>
  <c r="K385"/>
  <c r="K259"/>
  <c r="L259" s="1"/>
  <c r="K388"/>
  <c r="L388" s="1"/>
  <c r="J1091"/>
  <c r="K1175"/>
  <c r="J95"/>
  <c r="K1172"/>
  <c r="AU9" i="9" s="1"/>
  <c r="J301" i="8"/>
  <c r="K301" s="1"/>
  <c r="L301" s="1"/>
  <c r="K298"/>
  <c r="L298" s="1"/>
  <c r="J294"/>
  <c r="K97"/>
  <c r="L97" s="1"/>
  <c r="J307"/>
  <c r="J99"/>
  <c r="K100"/>
  <c r="L100" s="1"/>
  <c r="K96"/>
  <c r="K94"/>
  <c r="G10" i="9" s="1"/>
  <c r="K1174" i="8"/>
  <c r="J372"/>
  <c r="M272" l="1"/>
  <c r="O276"/>
  <c r="P276" s="1"/>
  <c r="P1310"/>
  <c r="P784"/>
  <c r="L368"/>
  <c r="AC12" i="9"/>
  <c r="E172" i="7"/>
  <c r="E170" s="1"/>
  <c r="N1446" i="8"/>
  <c r="F172" i="7"/>
  <c r="F170" s="1"/>
  <c r="E20"/>
  <c r="E19" s="1"/>
  <c r="O11" i="9"/>
  <c r="P138" i="8"/>
  <c r="L96"/>
  <c r="G12" i="9"/>
  <c r="N142" i="8"/>
  <c r="F20" i="7" s="1"/>
  <c r="F19" s="1"/>
  <c r="L1174" i="8"/>
  <c r="AU11" i="9"/>
  <c r="L1175" i="8"/>
  <c r="AU12" i="9"/>
  <c r="K14"/>
  <c r="BA7"/>
  <c r="L1172" i="8"/>
  <c r="L94"/>
  <c r="M1446"/>
  <c r="M161"/>
  <c r="L385"/>
  <c r="K95"/>
  <c r="K251"/>
  <c r="K99"/>
  <c r="L99" s="1"/>
  <c r="K254"/>
  <c r="L254" s="1"/>
  <c r="J104"/>
  <c r="J308"/>
  <c r="K308" s="1"/>
  <c r="M308" s="1"/>
  <c r="K1091"/>
  <c r="AQ9" i="9" s="1"/>
  <c r="J103" i="8"/>
  <c r="K687"/>
  <c r="J299"/>
  <c r="K307"/>
  <c r="L307" s="1"/>
  <c r="J98"/>
  <c r="K93"/>
  <c r="J302"/>
  <c r="K302" s="1"/>
  <c r="L302" s="1"/>
  <c r="K294"/>
  <c r="K372"/>
  <c r="J400"/>
  <c r="K1020"/>
  <c r="AN9" i="9" s="1"/>
  <c r="K424" i="8"/>
  <c r="M424" s="1"/>
  <c r="O306" l="1"/>
  <c r="P306" s="1"/>
  <c r="N17" i="9"/>
  <c r="L372" i="8"/>
  <c r="O368"/>
  <c r="P368" s="1"/>
  <c r="P15" i="9"/>
  <c r="O385" i="8"/>
  <c r="P385" s="1"/>
  <c r="L1020"/>
  <c r="K7" i="9"/>
  <c r="L251" i="8"/>
  <c r="Y10" i="9"/>
  <c r="L95" i="8"/>
  <c r="O1171"/>
  <c r="P1171" s="1"/>
  <c r="N161"/>
  <c r="L9" i="9"/>
  <c r="K12"/>
  <c r="L10"/>
  <c r="L294" i="8"/>
  <c r="L93"/>
  <c r="L687"/>
  <c r="L1091"/>
  <c r="K103"/>
  <c r="L103" s="1"/>
  <c r="K104"/>
  <c r="L104" s="1"/>
  <c r="K265"/>
  <c r="K9" i="9" s="1"/>
  <c r="K1118" i="8"/>
  <c r="AR9" i="9" s="1"/>
  <c r="K688" i="8"/>
  <c r="Y11" i="9" s="1"/>
  <c r="K1279" i="8"/>
  <c r="AZ11" i="9" s="1"/>
  <c r="J101" i="8"/>
  <c r="K101" s="1"/>
  <c r="L101" s="1"/>
  <c r="K98"/>
  <c r="L98" s="1"/>
  <c r="J295"/>
  <c r="K299"/>
  <c r="L299" s="1"/>
  <c r="O297" s="1"/>
  <c r="P297" s="1"/>
  <c r="K1022"/>
  <c r="L1022" s="1"/>
  <c r="K400"/>
  <c r="L400" s="1"/>
  <c r="J401"/>
  <c r="Y23" i="9" l="1"/>
  <c r="K107" i="8"/>
  <c r="G11" i="9"/>
  <c r="G9"/>
  <c r="O92" i="8"/>
  <c r="P92" s="1"/>
  <c r="M1024"/>
  <c r="M107"/>
  <c r="L688"/>
  <c r="L690" s="1"/>
  <c r="L265"/>
  <c r="L1279"/>
  <c r="K1281"/>
  <c r="N107"/>
  <c r="L107"/>
  <c r="K690"/>
  <c r="L1118"/>
  <c r="K1356"/>
  <c r="BC11" i="9" s="1"/>
  <c r="K1307" i="8"/>
  <c r="J1298"/>
  <c r="K1237"/>
  <c r="AX9" i="9" s="1"/>
  <c r="K295" i="8"/>
  <c r="J296"/>
  <c r="J402"/>
  <c r="K401"/>
  <c r="L401" s="1"/>
  <c r="K918"/>
  <c r="M918" s="1"/>
  <c r="K919"/>
  <c r="M919" s="1"/>
  <c r="K914"/>
  <c r="M914" s="1"/>
  <c r="O914" s="1"/>
  <c r="K904"/>
  <c r="M904" s="1"/>
  <c r="K903"/>
  <c r="M903" s="1"/>
  <c r="K902"/>
  <c r="M902" s="1"/>
  <c r="O901" s="1"/>
  <c r="K900"/>
  <c r="M900" s="1"/>
  <c r="O899" s="1"/>
  <c r="K769"/>
  <c r="K768"/>
  <c r="K762"/>
  <c r="K761"/>
  <c r="K200"/>
  <c r="I16" i="9" s="1"/>
  <c r="K339" i="8"/>
  <c r="M339" s="1"/>
  <c r="K340"/>
  <c r="M340" s="1"/>
  <c r="M342" l="1"/>
  <c r="O919"/>
  <c r="P919" s="1"/>
  <c r="O904"/>
  <c r="P904" s="1"/>
  <c r="O903"/>
  <c r="P903" s="1"/>
  <c r="O918"/>
  <c r="P918" s="1"/>
  <c r="O340"/>
  <c r="P340" s="1"/>
  <c r="O339"/>
  <c r="AF17" i="9"/>
  <c r="AF14"/>
  <c r="K1363" i="8"/>
  <c r="C165" i="7" s="1"/>
  <c r="M14" i="9"/>
  <c r="AG14"/>
  <c r="K921" i="8"/>
  <c r="P899"/>
  <c r="P901"/>
  <c r="K342"/>
  <c r="D17" i="7"/>
  <c r="D16" s="1"/>
  <c r="C156"/>
  <c r="E120"/>
  <c r="C17"/>
  <c r="C16" s="1"/>
  <c r="K402" i="8"/>
  <c r="AB11" i="9"/>
  <c r="AB17"/>
  <c r="G23"/>
  <c r="F17" i="7"/>
  <c r="F16" s="1"/>
  <c r="L1281" i="8"/>
  <c r="O1279"/>
  <c r="P1279" s="1"/>
  <c r="O687"/>
  <c r="P687" s="1"/>
  <c r="L295"/>
  <c r="M123"/>
  <c r="E17" i="7"/>
  <c r="E16" s="1"/>
  <c r="L1356" i="8"/>
  <c r="L1363" s="1"/>
  <c r="D165" i="7" s="1"/>
  <c r="L701" i="8"/>
  <c r="D72" i="7"/>
  <c r="D71" s="1"/>
  <c r="L123" i="8"/>
  <c r="N123"/>
  <c r="K701"/>
  <c r="C72" i="7"/>
  <c r="C71" s="1"/>
  <c r="L200" i="8"/>
  <c r="O200" s="1"/>
  <c r="P200" s="1"/>
  <c r="K123"/>
  <c r="K764"/>
  <c r="K771"/>
  <c r="L1307"/>
  <c r="L1237"/>
  <c r="L761"/>
  <c r="O761" s="1"/>
  <c r="P761" s="1"/>
  <c r="K888"/>
  <c r="L762"/>
  <c r="L769"/>
  <c r="L768"/>
  <c r="K887"/>
  <c r="K1302"/>
  <c r="L1302" s="1"/>
  <c r="J1303"/>
  <c r="K1303" s="1"/>
  <c r="L1303" s="1"/>
  <c r="J1299"/>
  <c r="K1298"/>
  <c r="K296"/>
  <c r="L296" s="1"/>
  <c r="J303"/>
  <c r="K871"/>
  <c r="K443"/>
  <c r="V23" i="9"/>
  <c r="K1040" i="8"/>
  <c r="AO11" i="9" s="1"/>
  <c r="K369" i="8"/>
  <c r="K454"/>
  <c r="K205"/>
  <c r="K739"/>
  <c r="K1119"/>
  <c r="L1119" s="1"/>
  <c r="K1117"/>
  <c r="K1106"/>
  <c r="M1106" s="1"/>
  <c r="K1094"/>
  <c r="L1094" s="1"/>
  <c r="K993"/>
  <c r="AL14" i="9" s="1"/>
  <c r="K796" i="8"/>
  <c r="M796" s="1"/>
  <c r="K783"/>
  <c r="K786"/>
  <c r="M786" s="1"/>
  <c r="K782"/>
  <c r="M782" s="1"/>
  <c r="K779"/>
  <c r="K780"/>
  <c r="K955"/>
  <c r="L955" s="1"/>
  <c r="K953"/>
  <c r="K941"/>
  <c r="M921"/>
  <c r="E36" i="7" l="1"/>
  <c r="E34" s="1"/>
  <c r="M344" i="8"/>
  <c r="O796"/>
  <c r="M941"/>
  <c r="M205"/>
  <c r="AC14" i="9"/>
  <c r="M454" i="8"/>
  <c r="AA14" i="9"/>
  <c r="M739" i="8"/>
  <c r="O739"/>
  <c r="M871"/>
  <c r="AE17" i="9"/>
  <c r="K875" i="8"/>
  <c r="N14" i="9"/>
  <c r="K377" i="8"/>
  <c r="L369"/>
  <c r="O768"/>
  <c r="P768" s="1"/>
  <c r="M404"/>
  <c r="M406" s="1"/>
  <c r="L402"/>
  <c r="AC11" i="9"/>
  <c r="I14"/>
  <c r="K1001" i="8"/>
  <c r="K1003" s="1"/>
  <c r="P914"/>
  <c r="N921"/>
  <c r="K753"/>
  <c r="N342"/>
  <c r="F36" i="7" s="1"/>
  <c r="F34" s="1"/>
  <c r="L1290" i="8"/>
  <c r="C81" i="7"/>
  <c r="C82"/>
  <c r="O17" i="9"/>
  <c r="E103" i="7"/>
  <c r="E101" s="1"/>
  <c r="M923" i="8"/>
  <c r="AQ14" i="9"/>
  <c r="M789" i="8"/>
  <c r="AJ7" i="9"/>
  <c r="L953" i="8"/>
  <c r="L780"/>
  <c r="O780" s="1"/>
  <c r="AI14" i="9"/>
  <c r="Q14"/>
  <c r="AB23"/>
  <c r="L443" i="8"/>
  <c r="D156" i="7"/>
  <c r="D155" s="1"/>
  <c r="O1356" i="8"/>
  <c r="P1356" s="1"/>
  <c r="O1118"/>
  <c r="P1118" s="1"/>
  <c r="O762"/>
  <c r="P762" s="1"/>
  <c r="P339"/>
  <c r="O293"/>
  <c r="P293" s="1"/>
  <c r="AJ12" i="9"/>
  <c r="M23"/>
  <c r="K1177" i="8"/>
  <c r="AQ12" i="9"/>
  <c r="AR11"/>
  <c r="K773" i="8"/>
  <c r="C36" i="7"/>
  <c r="C34" s="1"/>
  <c r="L1298" i="8"/>
  <c r="K1121"/>
  <c r="M1074"/>
  <c r="L1040"/>
  <c r="O1040" s="1"/>
  <c r="P1040" s="1"/>
  <c r="L779"/>
  <c r="O779" s="1"/>
  <c r="P779" s="1"/>
  <c r="K789"/>
  <c r="L764"/>
  <c r="K906"/>
  <c r="L771"/>
  <c r="L1177"/>
  <c r="L993"/>
  <c r="N1121"/>
  <c r="F132" i="7" s="1"/>
  <c r="L1117" i="8"/>
  <c r="O1117" s="1"/>
  <c r="P1117" s="1"/>
  <c r="K225"/>
  <c r="K224"/>
  <c r="L931"/>
  <c r="J1304"/>
  <c r="J1305" s="1"/>
  <c r="K1299"/>
  <c r="K1269"/>
  <c r="J1286"/>
  <c r="K1239"/>
  <c r="K303"/>
  <c r="L303" s="1"/>
  <c r="J304"/>
  <c r="K304" s="1"/>
  <c r="L304" s="1"/>
  <c r="L932"/>
  <c r="J942"/>
  <c r="J206"/>
  <c r="K204"/>
  <c r="M204" s="1"/>
  <c r="N610"/>
  <c r="N612" s="1"/>
  <c r="N715"/>
  <c r="N699"/>
  <c r="N1271"/>
  <c r="N1273" s="1"/>
  <c r="O870" l="1"/>
  <c r="P870" s="1"/>
  <c r="M875"/>
  <c r="O369"/>
  <c r="P369" s="1"/>
  <c r="L377"/>
  <c r="E42" i="7"/>
  <c r="E40" s="1"/>
  <c r="O202" i="8"/>
  <c r="P202" s="1"/>
  <c r="P780"/>
  <c r="AC7" i="9"/>
  <c r="C7" s="1"/>
  <c r="N906" i="8"/>
  <c r="F100" i="7" s="1"/>
  <c r="N23" i="9"/>
  <c r="C14"/>
  <c r="K235" i="8"/>
  <c r="O993"/>
  <c r="P993" s="1"/>
  <c r="L1001"/>
  <c r="L1003" s="1"/>
  <c r="N753"/>
  <c r="F79" i="7" s="1"/>
  <c r="F77" s="1"/>
  <c r="P739" i="8"/>
  <c r="N923"/>
  <c r="C141" i="7"/>
  <c r="D82"/>
  <c r="C132"/>
  <c r="D141"/>
  <c r="C100"/>
  <c r="K877" i="8"/>
  <c r="D81" i="7"/>
  <c r="E84"/>
  <c r="C84"/>
  <c r="M906" i="8"/>
  <c r="O442"/>
  <c r="P442" s="1"/>
  <c r="L225"/>
  <c r="J11" i="9"/>
  <c r="N344" i="8"/>
  <c r="L623"/>
  <c r="O301"/>
  <c r="P301" s="1"/>
  <c r="N875"/>
  <c r="N877" s="1"/>
  <c r="P796"/>
  <c r="E47" i="7"/>
  <c r="L921" i="8"/>
  <c r="L1239"/>
  <c r="AX11" i="9"/>
  <c r="L11"/>
  <c r="L23" s="1"/>
  <c r="L224" i="8"/>
  <c r="C39" i="7"/>
  <c r="C37" s="1"/>
  <c r="F39"/>
  <c r="F37" s="1"/>
  <c r="C63"/>
  <c r="K623" i="8"/>
  <c r="N789"/>
  <c r="C103" i="7"/>
  <c r="K923" i="8"/>
  <c r="D97" i="7"/>
  <c r="L877" i="8"/>
  <c r="K344"/>
  <c r="L311"/>
  <c r="E126" i="7"/>
  <c r="E125" s="1"/>
  <c r="D36"/>
  <c r="D34" s="1"/>
  <c r="L1269" i="8"/>
  <c r="AY17" i="9"/>
  <c r="AY23" s="1"/>
  <c r="D68" i="7"/>
  <c r="F154"/>
  <c r="F152" s="1"/>
  <c r="F61"/>
  <c r="F59" s="1"/>
  <c r="N717" i="8"/>
  <c r="F76" i="7"/>
  <c r="F74" s="1"/>
  <c r="N701" i="8"/>
  <c r="F73" i="7"/>
  <c r="F71" s="1"/>
  <c r="D56"/>
  <c r="N311" i="8"/>
  <c r="F32" i="7" s="1"/>
  <c r="F31" s="1"/>
  <c r="N235" i="8"/>
  <c r="F103" i="7"/>
  <c r="C97"/>
  <c r="L773" i="8"/>
  <c r="M1082"/>
  <c r="N935"/>
  <c r="F105" i="7" s="1"/>
  <c r="M1242" i="8"/>
  <c r="E150" i="7" s="1"/>
  <c r="K1242" i="8"/>
  <c r="M311"/>
  <c r="K311"/>
  <c r="L1121"/>
  <c r="E39" i="7"/>
  <c r="E37" s="1"/>
  <c r="L789" i="8"/>
  <c r="L906"/>
  <c r="L1299"/>
  <c r="D93" i="7"/>
  <c r="K439" i="8"/>
  <c r="L753"/>
  <c r="K1304"/>
  <c r="L1304" s="1"/>
  <c r="K885"/>
  <c r="K890" s="1"/>
  <c r="K1271"/>
  <c r="K1286"/>
  <c r="M1286" s="1"/>
  <c r="J1311"/>
  <c r="K1311" s="1"/>
  <c r="M1311" s="1"/>
  <c r="K1305"/>
  <c r="L1305" s="1"/>
  <c r="K1182"/>
  <c r="M1182" s="1"/>
  <c r="J261"/>
  <c r="K261" s="1"/>
  <c r="K418"/>
  <c r="P12" i="9" s="1"/>
  <c r="K942" i="8"/>
  <c r="J940"/>
  <c r="K939"/>
  <c r="L939" s="1"/>
  <c r="K929"/>
  <c r="J954"/>
  <c r="J930"/>
  <c r="K930" s="1"/>
  <c r="K206"/>
  <c r="J208"/>
  <c r="K954" l="1"/>
  <c r="AI11" i="9"/>
  <c r="M206" i="8"/>
  <c r="O205"/>
  <c r="P205" s="1"/>
  <c r="M942"/>
  <c r="K448"/>
  <c r="Q11" i="9"/>
  <c r="L235" i="8"/>
  <c r="N755"/>
  <c r="D39" i="7"/>
  <c r="D37" s="1"/>
  <c r="M908" i="8"/>
  <c r="K1273"/>
  <c r="L755"/>
  <c r="D100" i="7"/>
  <c r="C32"/>
  <c r="C31" s="1"/>
  <c r="D132"/>
  <c r="C150"/>
  <c r="E32"/>
  <c r="E31" s="1"/>
  <c r="K755" i="8"/>
  <c r="F84" i="7"/>
  <c r="M1288" i="8"/>
  <c r="O1285"/>
  <c r="P1285" s="1"/>
  <c r="L439"/>
  <c r="E100" i="7"/>
  <c r="E98" s="1"/>
  <c r="M753" i="8"/>
  <c r="E79" i="7" s="1"/>
  <c r="E77" s="1"/>
  <c r="C79"/>
  <c r="M877" i="8"/>
  <c r="E97" i="7"/>
  <c r="E95" s="1"/>
  <c r="AI16" i="9"/>
  <c r="O221" i="8"/>
  <c r="P221" s="1"/>
  <c r="D79" i="7"/>
  <c r="O1269" i="8"/>
  <c r="P1269" s="1"/>
  <c r="O1237"/>
  <c r="P1237" s="1"/>
  <c r="D63" i="7"/>
  <c r="L1242" i="8"/>
  <c r="F97" i="7"/>
  <c r="L923" i="8"/>
  <c r="D103" i="7"/>
  <c r="L885" i="8"/>
  <c r="L890" s="1"/>
  <c r="AF11" i="9"/>
  <c r="K10"/>
  <c r="D32" i="7"/>
  <c r="D31" s="1"/>
  <c r="F26"/>
  <c r="L344" i="8"/>
  <c r="L326"/>
  <c r="K1288"/>
  <c r="AZ17" i="9"/>
  <c r="AZ23" s="1"/>
  <c r="M326" i="8"/>
  <c r="L418"/>
  <c r="M379"/>
  <c r="K326"/>
  <c r="C154" i="7"/>
  <c r="C152" s="1"/>
  <c r="N326" i="8"/>
  <c r="D84" i="7"/>
  <c r="AU15" i="9"/>
  <c r="N890" i="8"/>
  <c r="L261"/>
  <c r="L1271"/>
  <c r="L929"/>
  <c r="O929" s="1"/>
  <c r="L930"/>
  <c r="K416"/>
  <c r="P10" i="9" s="1"/>
  <c r="J387" i="8"/>
  <c r="J1319"/>
  <c r="K1324"/>
  <c r="K1092"/>
  <c r="L1092" s="1"/>
  <c r="J943"/>
  <c r="K940"/>
  <c r="L940" s="1"/>
  <c r="O939" s="1"/>
  <c r="K208"/>
  <c r="J210"/>
  <c r="K210" s="1"/>
  <c r="M957" l="1"/>
  <c r="E108" i="7" s="1"/>
  <c r="E107" s="1"/>
  <c r="M954" i="8"/>
  <c r="O953"/>
  <c r="P953" s="1"/>
  <c r="L957"/>
  <c r="K957"/>
  <c r="K959" s="1"/>
  <c r="AJ11" i="9"/>
  <c r="M208" i="8"/>
  <c r="O207"/>
  <c r="P207" s="1"/>
  <c r="M1324"/>
  <c r="O1323" s="1"/>
  <c r="P1323" s="1"/>
  <c r="M210"/>
  <c r="O209"/>
  <c r="P209" s="1"/>
  <c r="I17" i="9"/>
  <c r="K1319" i="8"/>
  <c r="C47" i="7"/>
  <c r="C26"/>
  <c r="L1273" i="8"/>
  <c r="C157" i="7"/>
  <c r="C155" s="1"/>
  <c r="D150"/>
  <c r="K908" i="8"/>
  <c r="AQ10" i="9"/>
  <c r="M1096" i="8"/>
  <c r="E129" i="7" s="1"/>
  <c r="E157"/>
  <c r="E155" s="1"/>
  <c r="M1290" i="8"/>
  <c r="O438"/>
  <c r="P438" s="1"/>
  <c r="L448"/>
  <c r="M755"/>
  <c r="N1288"/>
  <c r="F157" i="7" s="1"/>
  <c r="F155" s="1"/>
  <c r="O930" i="8"/>
  <c r="P929" s="1"/>
  <c r="O885"/>
  <c r="P885" s="1"/>
  <c r="N957"/>
  <c r="N959" s="1"/>
  <c r="F47" i="7"/>
  <c r="F99"/>
  <c r="F98" s="1"/>
  <c r="C99"/>
  <c r="K1290" i="8"/>
  <c r="K709"/>
  <c r="D154" i="7"/>
  <c r="D152" s="1"/>
  <c r="N908" i="8"/>
  <c r="L416"/>
  <c r="K213"/>
  <c r="P939"/>
  <c r="J1308"/>
  <c r="K1300"/>
  <c r="BA9" i="9" s="1"/>
  <c r="K387" i="8"/>
  <c r="L387" s="1"/>
  <c r="J390"/>
  <c r="K390" s="1"/>
  <c r="L390" s="1"/>
  <c r="J417"/>
  <c r="K415"/>
  <c r="P9" i="9" s="1"/>
  <c r="K413" i="8"/>
  <c r="L413" s="1"/>
  <c r="O413" s="1"/>
  <c r="P413" s="1"/>
  <c r="K414"/>
  <c r="L414" s="1"/>
  <c r="O414" s="1"/>
  <c r="P414" s="1"/>
  <c r="K412"/>
  <c r="K794"/>
  <c r="M794" s="1"/>
  <c r="K943"/>
  <c r="F24" i="14"/>
  <c r="F26"/>
  <c r="F27"/>
  <c r="F28"/>
  <c r="F29"/>
  <c r="F30"/>
  <c r="F23"/>
  <c r="E25"/>
  <c r="B25"/>
  <c r="C25" s="1"/>
  <c r="D25" s="1"/>
  <c r="B23"/>
  <c r="C23" s="1"/>
  <c r="D23" s="1"/>
  <c r="C108" i="7" l="1"/>
  <c r="M959" i="8"/>
  <c r="D108" i="7"/>
  <c r="L959" i="8"/>
  <c r="M213"/>
  <c r="M1319"/>
  <c r="O1318"/>
  <c r="P1318" s="1"/>
  <c r="M943"/>
  <c r="O941"/>
  <c r="C9" i="9"/>
  <c r="D26" i="7"/>
  <c r="D47"/>
  <c r="C75"/>
  <c r="L908" i="8"/>
  <c r="AI17" i="9"/>
  <c r="I23"/>
  <c r="O10"/>
  <c r="C10" s="1"/>
  <c r="C24" i="7"/>
  <c r="C22" s="1"/>
  <c r="F108"/>
  <c r="N1290" i="8"/>
  <c r="D99" i="7"/>
  <c r="D98" s="1"/>
  <c r="L213" i="8"/>
  <c r="K44"/>
  <c r="J492"/>
  <c r="K492" s="1"/>
  <c r="J137"/>
  <c r="K137" s="1"/>
  <c r="H12" i="9" s="1"/>
  <c r="H23" s="1"/>
  <c r="J392" i="8"/>
  <c r="K392" s="1"/>
  <c r="O12" i="9" s="1"/>
  <c r="J933" i="8"/>
  <c r="K933" s="1"/>
  <c r="AI12" i="9" s="1"/>
  <c r="F25" i="14"/>
  <c r="F32" s="1"/>
  <c r="K379" i="8"/>
  <c r="L412"/>
  <c r="N379"/>
  <c r="E161" i="7"/>
  <c r="K215" i="8"/>
  <c r="K945"/>
  <c r="L709"/>
  <c r="N213"/>
  <c r="L1300"/>
  <c r="L415"/>
  <c r="K1021"/>
  <c r="AN11" i="9" s="1"/>
  <c r="K417" i="8"/>
  <c r="P11" i="9" s="1"/>
  <c r="K398" i="8"/>
  <c r="J399"/>
  <c r="K399" s="1"/>
  <c r="L399" s="1"/>
  <c r="K969"/>
  <c r="K1308"/>
  <c r="J1301"/>
  <c r="E24" i="7" l="1"/>
  <c r="E22" s="1"/>
  <c r="M215" i="8"/>
  <c r="R12" i="9"/>
  <c r="R23" s="1"/>
  <c r="K496" i="8"/>
  <c r="L1021"/>
  <c r="D75" i="7"/>
  <c r="O386" i="8"/>
  <c r="P386" s="1"/>
  <c r="M945"/>
  <c r="P941"/>
  <c r="AK11" i="9"/>
  <c r="L969" i="8"/>
  <c r="O968" s="1"/>
  <c r="P968" s="1"/>
  <c r="E12" i="9"/>
  <c r="K46" i="8"/>
  <c r="O16" i="9"/>
  <c r="F24" i="7"/>
  <c r="F22" s="1"/>
  <c r="D24"/>
  <c r="D22" s="1"/>
  <c r="L215" i="8"/>
  <c r="O412"/>
  <c r="P412" s="1"/>
  <c r="N1314"/>
  <c r="F159" i="7" s="1"/>
  <c r="L1308" i="8"/>
  <c r="K420"/>
  <c r="L417"/>
  <c r="K972"/>
  <c r="L945"/>
  <c r="K142"/>
  <c r="L137"/>
  <c r="O132" s="1"/>
  <c r="P132" s="1"/>
  <c r="L392"/>
  <c r="O390" s="1"/>
  <c r="P390" s="1"/>
  <c r="AI23" i="9"/>
  <c r="L933" i="8"/>
  <c r="K935"/>
  <c r="L44"/>
  <c r="L492"/>
  <c r="C106" i="7"/>
  <c r="K1042" i="8"/>
  <c r="K1024"/>
  <c r="L379"/>
  <c r="N215"/>
  <c r="N420"/>
  <c r="F44" i="7" s="1"/>
  <c r="N945" i="8"/>
  <c r="L398"/>
  <c r="K1301"/>
  <c r="BA11" i="9" s="1"/>
  <c r="J602" i="8"/>
  <c r="K1072"/>
  <c r="B29" i="14"/>
  <c r="C29" s="1"/>
  <c r="D29" s="1"/>
  <c r="I39"/>
  <c r="I40"/>
  <c r="I41"/>
  <c r="I42"/>
  <c r="I43"/>
  <c r="I44"/>
  <c r="I45"/>
  <c r="I46"/>
  <c r="I47"/>
  <c r="I48"/>
  <c r="I49"/>
  <c r="I50"/>
  <c r="I38"/>
  <c r="C12" i="9" l="1"/>
  <c r="L972" i="8"/>
  <c r="D111" i="7" s="1"/>
  <c r="L1024" i="8"/>
  <c r="O931"/>
  <c r="P931" s="1"/>
  <c r="C123" i="7"/>
  <c r="C105"/>
  <c r="D106"/>
  <c r="C20"/>
  <c r="C19" s="1"/>
  <c r="C50"/>
  <c r="C49" s="1"/>
  <c r="C120"/>
  <c r="C111"/>
  <c r="K1074" i="8"/>
  <c r="AP11" i="9"/>
  <c r="L394" i="8"/>
  <c r="M947"/>
  <c r="E106" i="7"/>
  <c r="E104" s="1"/>
  <c r="K58" i="8"/>
  <c r="E23" i="9"/>
  <c r="O37" i="8"/>
  <c r="P37" s="1"/>
  <c r="L46"/>
  <c r="C11" i="7"/>
  <c r="C10" s="1"/>
  <c r="O398" i="8"/>
  <c r="P398" s="1"/>
  <c r="O1307"/>
  <c r="P1307" s="1"/>
  <c r="N1024"/>
  <c r="O415"/>
  <c r="P415" s="1"/>
  <c r="N972"/>
  <c r="F111" i="7" s="1"/>
  <c r="L496" i="8"/>
  <c r="O467"/>
  <c r="P467" s="1"/>
  <c r="C44" i="7"/>
  <c r="L420" i="8"/>
  <c r="K542"/>
  <c r="K161"/>
  <c r="L935"/>
  <c r="L142"/>
  <c r="K947"/>
  <c r="K394"/>
  <c r="N947"/>
  <c r="F106" i="7"/>
  <c r="F161"/>
  <c r="M1314" i="8"/>
  <c r="L1301"/>
  <c r="K1314"/>
  <c r="L1042"/>
  <c r="L404"/>
  <c r="BB23" i="9"/>
  <c r="J1102" i="8"/>
  <c r="K1101"/>
  <c r="L1101" s="1"/>
  <c r="J1088"/>
  <c r="K602"/>
  <c r="L1072"/>
  <c r="I23" i="14"/>
  <c r="I24"/>
  <c r="I25"/>
  <c r="I26"/>
  <c r="I27"/>
  <c r="I28"/>
  <c r="I29"/>
  <c r="I30"/>
  <c r="I31"/>
  <c r="I22"/>
  <c r="B14"/>
  <c r="B12"/>
  <c r="B11"/>
  <c r="B10"/>
  <c r="B9"/>
  <c r="B8"/>
  <c r="B7"/>
  <c r="B6"/>
  <c r="O1296" i="8" l="1"/>
  <c r="P1296" s="1"/>
  <c r="D120" i="7"/>
  <c r="O1020" i="8"/>
  <c r="P1020" s="1"/>
  <c r="L542"/>
  <c r="C41" i="7"/>
  <c r="D41"/>
  <c r="D123"/>
  <c r="C159"/>
  <c r="D20"/>
  <c r="D19" s="1"/>
  <c r="D44"/>
  <c r="C126"/>
  <c r="F120"/>
  <c r="L58" i="8"/>
  <c r="U11" i="9"/>
  <c r="K604" i="8"/>
  <c r="O600"/>
  <c r="P600" s="1"/>
  <c r="D11" i="7"/>
  <c r="D10" s="1"/>
  <c r="D50"/>
  <c r="D49" s="1"/>
  <c r="N394" i="8"/>
  <c r="F41" i="7" s="1"/>
  <c r="L1074" i="8"/>
  <c r="O1072"/>
  <c r="P1072" s="1"/>
  <c r="E159" i="7"/>
  <c r="L161" i="8"/>
  <c r="D105" i="7"/>
  <c r="L947" i="8"/>
  <c r="L406"/>
  <c r="D42" i="7"/>
  <c r="L1314" i="8"/>
  <c r="K1377"/>
  <c r="J1138"/>
  <c r="K1138" s="1"/>
  <c r="J266"/>
  <c r="K1102"/>
  <c r="L1102" s="1"/>
  <c r="L602"/>
  <c r="L604" s="1"/>
  <c r="J1089"/>
  <c r="J262" s="1"/>
  <c r="K262" s="1"/>
  <c r="L262" s="1"/>
  <c r="K1088"/>
  <c r="D159" i="7" l="1"/>
  <c r="D126"/>
  <c r="C60"/>
  <c r="D40"/>
  <c r="BC23" i="9"/>
  <c r="N1377" i="8"/>
  <c r="L1377"/>
  <c r="AK23" i="9"/>
  <c r="C161" i="7"/>
  <c r="K1140" i="8"/>
  <c r="AS11" i="9"/>
  <c r="C164" i="7"/>
  <c r="AQ16" i="9"/>
  <c r="C16" s="1"/>
  <c r="AJ23"/>
  <c r="D60" i="7"/>
  <c r="K978" i="8"/>
  <c r="L1088"/>
  <c r="O1088" s="1"/>
  <c r="P1088" s="1"/>
  <c r="L978"/>
  <c r="K266"/>
  <c r="L266" s="1"/>
  <c r="L1138"/>
  <c r="O976"/>
  <c r="P976" s="1"/>
  <c r="K795"/>
  <c r="M795" s="1"/>
  <c r="O793" s="1"/>
  <c r="J1090"/>
  <c r="J256" s="1"/>
  <c r="L256" s="1"/>
  <c r="K1089"/>
  <c r="L1089" s="1"/>
  <c r="O1089" s="1"/>
  <c r="P1089" s="1"/>
  <c r="F80" i="7"/>
  <c r="F104"/>
  <c r="M256" i="8" l="1"/>
  <c r="P793"/>
  <c r="AC17" i="9"/>
  <c r="C135" i="7"/>
  <c r="M799" i="8"/>
  <c r="F165" i="7"/>
  <c r="F164" s="1"/>
  <c r="D164"/>
  <c r="L1140" i="8"/>
  <c r="O1138"/>
  <c r="P1138" s="1"/>
  <c r="K980"/>
  <c r="C112" i="7"/>
  <c r="L980" i="8"/>
  <c r="D112" i="7"/>
  <c r="D161"/>
  <c r="N978" i="8"/>
  <c r="K256"/>
  <c r="J1093"/>
  <c r="K1090"/>
  <c r="G6" i="3"/>
  <c r="G7"/>
  <c r="G8"/>
  <c r="G9"/>
  <c r="G10"/>
  <c r="G11"/>
  <c r="G12"/>
  <c r="G13"/>
  <c r="G14"/>
  <c r="G15"/>
  <c r="G16"/>
  <c r="G17"/>
  <c r="G18"/>
  <c r="G19"/>
  <c r="G20"/>
  <c r="G21"/>
  <c r="G5"/>
  <c r="D7" i="4"/>
  <c r="D8"/>
  <c r="D9"/>
  <c r="D10"/>
  <c r="D11"/>
  <c r="D12"/>
  <c r="D13"/>
  <c r="D14"/>
  <c r="D15"/>
  <c r="D16"/>
  <c r="D17"/>
  <c r="D6"/>
  <c r="D135" i="7" l="1"/>
  <c r="E85"/>
  <c r="E83" s="1"/>
  <c r="M801" i="8"/>
  <c r="L799"/>
  <c r="N980"/>
  <c r="F112" i="7"/>
  <c r="F110" s="1"/>
  <c r="L1090" i="8"/>
  <c r="O1090" s="1"/>
  <c r="P1090" s="1"/>
  <c r="K240"/>
  <c r="M240" s="1"/>
  <c r="O239" s="1"/>
  <c r="AC23" i="9"/>
  <c r="K1093" i="8"/>
  <c r="J263"/>
  <c r="D104" i="7"/>
  <c r="D80"/>
  <c r="F113"/>
  <c r="L801" i="8" l="1"/>
  <c r="J17" i="9"/>
  <c r="P239" i="8"/>
  <c r="D85" i="7"/>
  <c r="N1096" i="8"/>
  <c r="F129" i="7" s="1"/>
  <c r="L1093" i="8"/>
  <c r="AQ11" i="9"/>
  <c r="K799" i="8"/>
  <c r="K243"/>
  <c r="K1096"/>
  <c r="K455"/>
  <c r="K263"/>
  <c r="L263" s="1"/>
  <c r="O260" s="1"/>
  <c r="P260" s="1"/>
  <c r="J257"/>
  <c r="K1247"/>
  <c r="F116" i="7"/>
  <c r="C80"/>
  <c r="C110"/>
  <c r="D110"/>
  <c r="F107"/>
  <c r="D107"/>
  <c r="AD23" i="9"/>
  <c r="F101" i="7"/>
  <c r="AE23" i="9"/>
  <c r="AF23"/>
  <c r="AG23"/>
  <c r="M455" i="8" l="1"/>
  <c r="O454"/>
  <c r="P454" s="1"/>
  <c r="J23" i="9"/>
  <c r="K245" i="8"/>
  <c r="AL23" i="9"/>
  <c r="C27" i="7"/>
  <c r="C25" s="1"/>
  <c r="L243" i="8"/>
  <c r="O1091"/>
  <c r="P1091" s="1"/>
  <c r="M243"/>
  <c r="N799"/>
  <c r="P797"/>
  <c r="L1096"/>
  <c r="C129" i="7"/>
  <c r="K801" i="8"/>
  <c r="C85" i="7"/>
  <c r="C83" s="1"/>
  <c r="L1247" i="8"/>
  <c r="N243"/>
  <c r="K453"/>
  <c r="J425"/>
  <c r="J258"/>
  <c r="L258" s="1"/>
  <c r="M258" s="1"/>
  <c r="K257"/>
  <c r="L257" s="1"/>
  <c r="D83" i="7"/>
  <c r="F95"/>
  <c r="C107"/>
  <c r="D89"/>
  <c r="D101"/>
  <c r="D95"/>
  <c r="O255" i="8" l="1"/>
  <c r="P255" s="1"/>
  <c r="Q17" i="9"/>
  <c r="M453" i="8"/>
  <c r="M459" s="1"/>
  <c r="O452"/>
  <c r="K459"/>
  <c r="L245"/>
  <c r="N245"/>
  <c r="M245"/>
  <c r="D129" i="7"/>
  <c r="F85"/>
  <c r="F83" s="1"/>
  <c r="E115"/>
  <c r="E113" s="1"/>
  <c r="E27"/>
  <c r="E25" s="1"/>
  <c r="F27"/>
  <c r="F25" s="1"/>
  <c r="D27"/>
  <c r="D25" s="1"/>
  <c r="N801" i="8"/>
  <c r="C115" i="7"/>
  <c r="C113" s="1"/>
  <c r="J427" i="8"/>
  <c r="K427" s="1"/>
  <c r="M427" s="1"/>
  <c r="K425"/>
  <c r="J428"/>
  <c r="J252"/>
  <c r="K258"/>
  <c r="D8" i="5"/>
  <c r="D5"/>
  <c r="D6"/>
  <c r="D7"/>
  <c r="D4"/>
  <c r="P452" i="8" l="1"/>
  <c r="N459"/>
  <c r="Q23" i="9"/>
  <c r="M461" i="8"/>
  <c r="K461"/>
  <c r="C48" i="7"/>
  <c r="C46" s="1"/>
  <c r="L425" i="8"/>
  <c r="K428"/>
  <c r="M428" s="1"/>
  <c r="K426"/>
  <c r="L426" s="1"/>
  <c r="J253"/>
  <c r="K252"/>
  <c r="L252" s="1"/>
  <c r="O251" s="1"/>
  <c r="P251" s="1"/>
  <c r="I13" i="11"/>
  <c r="H14"/>
  <c r="I14" s="1"/>
  <c r="C6"/>
  <c r="C22" s="1"/>
  <c r="C26" s="1"/>
  <c r="I12"/>
  <c r="G12"/>
  <c r="I11"/>
  <c r="G11"/>
  <c r="I10"/>
  <c r="G10"/>
  <c r="I9"/>
  <c r="C8"/>
  <c r="C16" s="1"/>
  <c r="N430" i="8" l="1"/>
  <c r="N432" s="1"/>
  <c r="M430"/>
  <c r="E45" i="7" s="1"/>
  <c r="E43" s="1"/>
  <c r="P17" i="9"/>
  <c r="P23" s="1"/>
  <c r="E48" i="7"/>
  <c r="E46" s="1"/>
  <c r="N461" i="8"/>
  <c r="P456"/>
  <c r="L461"/>
  <c r="D48" i="7"/>
  <c r="D46" s="1"/>
  <c r="K430" i="8"/>
  <c r="K253"/>
  <c r="M253" s="1"/>
  <c r="O424"/>
  <c r="P424" s="1"/>
  <c r="K1009"/>
  <c r="J1010"/>
  <c r="E9" i="11"/>
  <c r="I15"/>
  <c r="I17" s="1"/>
  <c r="Z52" i="2"/>
  <c r="AI53" i="1"/>
  <c r="AH53"/>
  <c r="AA46" i="2"/>
  <c r="AA47"/>
  <c r="AA48"/>
  <c r="AA49"/>
  <c r="AA50"/>
  <c r="AA51"/>
  <c r="C11" i="6"/>
  <c r="C13"/>
  <c r="C16"/>
  <c r="C18"/>
  <c r="C20"/>
  <c r="C23"/>
  <c r="C26"/>
  <c r="C28"/>
  <c r="C30"/>
  <c r="C32"/>
  <c r="C34"/>
  <c r="C36"/>
  <c r="C39"/>
  <c r="C41"/>
  <c r="AI11" i="1"/>
  <c r="AI13"/>
  <c r="AI16"/>
  <c r="AI18"/>
  <c r="AI20"/>
  <c r="AI26"/>
  <c r="AI28"/>
  <c r="AI30"/>
  <c r="AI32"/>
  <c r="AI34"/>
  <c r="AI36"/>
  <c r="AI39"/>
  <c r="AI41"/>
  <c r="AH15"/>
  <c r="AH17"/>
  <c r="AH19"/>
  <c r="AH25"/>
  <c r="AH27"/>
  <c r="AH29"/>
  <c r="AH31"/>
  <c r="AH33"/>
  <c r="AH35"/>
  <c r="AH38"/>
  <c r="AH40"/>
  <c r="AH3"/>
  <c r="V22" i="2"/>
  <c r="AA6"/>
  <c r="AA8"/>
  <c r="AA11"/>
  <c r="D11" i="6" s="1"/>
  <c r="D10" s="1"/>
  <c r="AA13" i="2"/>
  <c r="D13" i="6" s="1"/>
  <c r="D12" s="1"/>
  <c r="AA16" i="2"/>
  <c r="D16" i="6" s="1"/>
  <c r="D15" s="1"/>
  <c r="AA18" i="2"/>
  <c r="AA20"/>
  <c r="D20" i="6" s="1"/>
  <c r="D19" s="1"/>
  <c r="D18" s="1"/>
  <c r="D17" s="1"/>
  <c r="AA23" i="2"/>
  <c r="AA24" s="1"/>
  <c r="AA26"/>
  <c r="AA28"/>
  <c r="AA30"/>
  <c r="AA32"/>
  <c r="AA34"/>
  <c r="AA36"/>
  <c r="AA39"/>
  <c r="AA41"/>
  <c r="AA43"/>
  <c r="AA44"/>
  <c r="AA45"/>
  <c r="AA4"/>
  <c r="Z8"/>
  <c r="Z15"/>
  <c r="C15" i="6" s="1"/>
  <c r="V10" i="2"/>
  <c r="Z10" s="1"/>
  <c r="V7"/>
  <c r="Z7" s="1"/>
  <c r="V5"/>
  <c r="Z5" s="1"/>
  <c r="W40"/>
  <c r="W38"/>
  <c r="W35"/>
  <c r="W33"/>
  <c r="X31"/>
  <c r="W31"/>
  <c r="W29"/>
  <c r="W27"/>
  <c r="W25"/>
  <c r="W19"/>
  <c r="W17"/>
  <c r="W12"/>
  <c r="W3"/>
  <c r="AF8" i="1"/>
  <c r="I6" i="3"/>
  <c r="I7"/>
  <c r="I8"/>
  <c r="I9"/>
  <c r="I10"/>
  <c r="I11"/>
  <c r="I12"/>
  <c r="I13"/>
  <c r="I14"/>
  <c r="I15"/>
  <c r="I16"/>
  <c r="I17"/>
  <c r="I18"/>
  <c r="I19"/>
  <c r="I20"/>
  <c r="I21"/>
  <c r="I5"/>
  <c r="F45" i="7" l="1"/>
  <c r="F43" s="1"/>
  <c r="M432" i="8"/>
  <c r="F48" i="7"/>
  <c r="F46" s="1"/>
  <c r="K11" i="9"/>
  <c r="C11" s="1"/>
  <c r="M268" i="8"/>
  <c r="M1573" s="1"/>
  <c r="K268"/>
  <c r="K1573" s="1"/>
  <c r="K432"/>
  <c r="C45" i="7"/>
  <c r="C43" s="1"/>
  <c r="L430" i="8"/>
  <c r="L1009"/>
  <c r="O1009" s="1"/>
  <c r="P1009" s="1"/>
  <c r="N268"/>
  <c r="K1010"/>
  <c r="K1012" s="1"/>
  <c r="AC4" i="1"/>
  <c r="AI4" s="1"/>
  <c r="D4" i="6" s="1"/>
  <c r="D3" s="1"/>
  <c r="AC5" i="1"/>
  <c r="AH5" s="1"/>
  <c r="C5" i="6" s="1"/>
  <c r="AC7" i="1"/>
  <c r="AH7" s="1"/>
  <c r="C7" i="6" s="1"/>
  <c r="AC10" i="1"/>
  <c r="AH10" s="1"/>
  <c r="AC22"/>
  <c r="AH22" s="1"/>
  <c r="AH24" s="1"/>
  <c r="V40" i="2"/>
  <c r="Z40" s="1"/>
  <c r="C40" i="6" s="1"/>
  <c r="V17" i="2"/>
  <c r="Z17" s="1"/>
  <c r="C17" i="6" s="1"/>
  <c r="E17" s="1"/>
  <c r="V25" i="2"/>
  <c r="Z25" s="1"/>
  <c r="V29"/>
  <c r="Z29" s="1"/>
  <c r="C29" i="6" s="1"/>
  <c r="V33" i="2"/>
  <c r="Z33" s="1"/>
  <c r="C33" i="6" s="1"/>
  <c r="V38" i="2"/>
  <c r="Z38" s="1"/>
  <c r="AC44" i="1"/>
  <c r="AI44" s="1"/>
  <c r="AC6"/>
  <c r="AI6" s="1"/>
  <c r="D6" i="6" s="1"/>
  <c r="D5" s="1"/>
  <c r="AC8" i="1"/>
  <c r="AI8" s="1"/>
  <c r="AC12"/>
  <c r="AH12" s="1"/>
  <c r="AC23"/>
  <c r="AI23" s="1"/>
  <c r="AI24" s="1"/>
  <c r="D24" i="6" s="1"/>
  <c r="V3" i="2"/>
  <c r="Z3" s="1"/>
  <c r="Z9" s="1"/>
  <c r="V12"/>
  <c r="Z12" s="1"/>
  <c r="V19"/>
  <c r="Z19" s="1"/>
  <c r="C19" i="6" s="1"/>
  <c r="E19" s="1"/>
  <c r="V27" i="2"/>
  <c r="Z27" s="1"/>
  <c r="C27" i="6" s="1"/>
  <c r="V31" i="2"/>
  <c r="Z31" s="1"/>
  <c r="C31" i="6" s="1"/>
  <c r="V35" i="2"/>
  <c r="Z35" s="1"/>
  <c r="C35" i="6" s="1"/>
  <c r="AC43" i="1"/>
  <c r="AH43" s="1"/>
  <c r="AH46" s="1"/>
  <c r="C43" i="6" s="1"/>
  <c r="AC45" i="1"/>
  <c r="AI45" s="1"/>
  <c r="D39" i="6"/>
  <c r="D38" s="1"/>
  <c r="D34"/>
  <c r="D33" s="1"/>
  <c r="D30"/>
  <c r="D29" s="1"/>
  <c r="D26"/>
  <c r="D25" s="1"/>
  <c r="AH42" i="1"/>
  <c r="AH37"/>
  <c r="D41" i="6"/>
  <c r="D40" s="1"/>
  <c r="D36"/>
  <c r="D35" s="1"/>
  <c r="D32"/>
  <c r="D31" s="1"/>
  <c r="D28"/>
  <c r="D27" s="1"/>
  <c r="AI42" i="1"/>
  <c r="AI37"/>
  <c r="AI14"/>
  <c r="AA52" i="2"/>
  <c r="E15" i="6"/>
  <c r="AA37" i="2"/>
  <c r="AA42"/>
  <c r="AI21" i="1"/>
  <c r="D21" i="6" s="1"/>
  <c r="AH21" i="1"/>
  <c r="AA14" i="2"/>
  <c r="AA9"/>
  <c r="Z22"/>
  <c r="AO23" i="9" l="1"/>
  <c r="K1014" i="8"/>
  <c r="E29" i="7"/>
  <c r="C29"/>
  <c r="F29"/>
  <c r="L268" i="8"/>
  <c r="L1573" s="1"/>
  <c r="L432"/>
  <c r="D45" i="7"/>
  <c r="D43" s="1"/>
  <c r="AM17" i="9"/>
  <c r="AM23" s="1"/>
  <c r="C118" i="7"/>
  <c r="C116" s="1"/>
  <c r="L1010" i="8"/>
  <c r="K1078"/>
  <c r="O1078" s="1"/>
  <c r="P1078" s="1"/>
  <c r="AA23" i="9"/>
  <c r="C12" i="6"/>
  <c r="E12" s="1"/>
  <c r="E33"/>
  <c r="D23"/>
  <c r="D22" s="1"/>
  <c r="AH9" i="1"/>
  <c r="C9" i="6" s="1"/>
  <c r="Z14" i="2"/>
  <c r="AI9" i="1"/>
  <c r="D9" i="6" s="1"/>
  <c r="AI46" i="1"/>
  <c r="D43" i="6" s="1"/>
  <c r="D44" s="1"/>
  <c r="AH14" i="1"/>
  <c r="C10" i="6"/>
  <c r="E10" s="1"/>
  <c r="E40"/>
  <c r="E29"/>
  <c r="E27"/>
  <c r="D37"/>
  <c r="E31"/>
  <c r="D42"/>
  <c r="D14"/>
  <c r="D8"/>
  <c r="D7" s="1"/>
  <c r="E7" s="1"/>
  <c r="E35"/>
  <c r="C101" i="7"/>
  <c r="Z21" i="2"/>
  <c r="C44" i="6"/>
  <c r="E5"/>
  <c r="Z37" i="2"/>
  <c r="C37" i="6" s="1"/>
  <c r="C25"/>
  <c r="E25" s="1"/>
  <c r="Z24" i="2"/>
  <c r="C22" i="6"/>
  <c r="C3"/>
  <c r="E3" s="1"/>
  <c r="C38"/>
  <c r="E38" s="1"/>
  <c r="Z42" i="2"/>
  <c r="C42" i="6" s="1"/>
  <c r="N1064" i="8" l="1"/>
  <c r="K1034"/>
  <c r="O1028"/>
  <c r="P1028" s="1"/>
  <c r="O23" i="9"/>
  <c r="O1010" i="8"/>
  <c r="P1010" s="1"/>
  <c r="D29" i="7"/>
  <c r="E42" i="6"/>
  <c r="K1080" i="8"/>
  <c r="AP17" i="9"/>
  <c r="AP23" s="1"/>
  <c r="K1066" i="8"/>
  <c r="C124" i="7"/>
  <c r="C122" s="1"/>
  <c r="K404" i="8"/>
  <c r="L1012"/>
  <c r="L1078"/>
  <c r="K608"/>
  <c r="U17" i="9" s="1"/>
  <c r="U23" s="1"/>
  <c r="E22" i="6"/>
  <c r="E43"/>
  <c r="E44" s="1"/>
  <c r="C14"/>
  <c r="E14" s="1"/>
  <c r="C104" i="7"/>
  <c r="E9" i="6"/>
  <c r="E37"/>
  <c r="C24"/>
  <c r="E24" s="1"/>
  <c r="C21"/>
  <c r="E21" s="1"/>
  <c r="F124" i="7" l="1"/>
  <c r="F122" s="1"/>
  <c r="N1066" i="8"/>
  <c r="N1034"/>
  <c r="L1014"/>
  <c r="M1034"/>
  <c r="D124" i="7"/>
  <c r="D122" s="1"/>
  <c r="L1034" i="8"/>
  <c r="D121" i="7"/>
  <c r="D119" s="1"/>
  <c r="L1066" i="8"/>
  <c r="E121" i="7"/>
  <c r="E119" s="1"/>
  <c r="N404" i="8"/>
  <c r="F42" i="7" s="1"/>
  <c r="F40" s="1"/>
  <c r="K610" i="8"/>
  <c r="K406"/>
  <c r="C42" i="7"/>
  <c r="C40" s="1"/>
  <c r="K1082" i="8"/>
  <c r="C127" i="7"/>
  <c r="C125" s="1"/>
  <c r="D118"/>
  <c r="D116" s="1"/>
  <c r="L1080" i="8"/>
  <c r="L608"/>
  <c r="L610" s="1"/>
  <c r="J1181"/>
  <c r="K1144"/>
  <c r="AS17" i="9" s="1"/>
  <c r="AS23" s="1"/>
  <c r="C98" i="7"/>
  <c r="C95"/>
  <c r="G45" i="6"/>
  <c r="K612" i="8" l="1"/>
  <c r="L612"/>
  <c r="N406"/>
  <c r="F121" i="7"/>
  <c r="F119" s="1"/>
  <c r="O608" i="8"/>
  <c r="P608" s="1"/>
  <c r="C121" i="7"/>
  <c r="C119" s="1"/>
  <c r="C61"/>
  <c r="C59" s="1"/>
  <c r="L1082" i="8"/>
  <c r="D127" i="7"/>
  <c r="D125" s="1"/>
  <c r="AN23" i="9"/>
  <c r="K715" i="8"/>
  <c r="K1146"/>
  <c r="L1144"/>
  <c r="K1181"/>
  <c r="M1181" s="1"/>
  <c r="O1181" s="1"/>
  <c r="P1181" s="1"/>
  <c r="J1183"/>
  <c r="K1183" s="1"/>
  <c r="M1183" s="1"/>
  <c r="O1182" s="1"/>
  <c r="P1182" s="1"/>
  <c r="K1103"/>
  <c r="L1103" s="1"/>
  <c r="J1104"/>
  <c r="D77" i="7"/>
  <c r="C89"/>
  <c r="O1144" i="8" l="1"/>
  <c r="P1144" s="1"/>
  <c r="D61" i="7"/>
  <c r="D59" s="1"/>
  <c r="AU17" i="9"/>
  <c r="C62" i="7"/>
  <c r="K1148" i="8"/>
  <c r="C136" i="7"/>
  <c r="C134" s="1"/>
  <c r="K717" i="8"/>
  <c r="C76" i="7"/>
  <c r="C74" s="1"/>
  <c r="K1185" i="8"/>
  <c r="L715"/>
  <c r="L1146"/>
  <c r="K1125"/>
  <c r="K1104"/>
  <c r="L1104" s="1"/>
  <c r="J1105"/>
  <c r="C77" i="7"/>
  <c r="M1125" i="8" l="1"/>
  <c r="AU23" i="9"/>
  <c r="N1185" i="8"/>
  <c r="AR15" i="9"/>
  <c r="L1148" i="8"/>
  <c r="D136" i="7"/>
  <c r="D134" s="1"/>
  <c r="L717" i="8"/>
  <c r="D76" i="7"/>
  <c r="D74" s="1"/>
  <c r="K1187" i="8"/>
  <c r="C142" i="7"/>
  <c r="C140" s="1"/>
  <c r="D62"/>
  <c r="L1185" i="8"/>
  <c r="M1185"/>
  <c r="J1107"/>
  <c r="K1107" s="1"/>
  <c r="M1107" s="1"/>
  <c r="O1106" s="1"/>
  <c r="K1105"/>
  <c r="J274"/>
  <c r="K1126"/>
  <c r="O1125" s="1"/>
  <c r="J1128"/>
  <c r="K1128" s="1"/>
  <c r="P1125" l="1"/>
  <c r="M1126"/>
  <c r="M1128"/>
  <c r="O1127"/>
  <c r="F142" i="7"/>
  <c r="F140" s="1"/>
  <c r="N1187" i="8"/>
  <c r="L1105"/>
  <c r="L1109" s="1"/>
  <c r="M1109"/>
  <c r="P1106"/>
  <c r="AQ17" i="9"/>
  <c r="AR17"/>
  <c r="AR23" s="1"/>
  <c r="L1187" i="8"/>
  <c r="D142" i="7"/>
  <c r="D140" s="1"/>
  <c r="M1187" i="8"/>
  <c r="E142" i="7"/>
  <c r="E140" s="1"/>
  <c r="K1130" i="8"/>
  <c r="K1109"/>
  <c r="N1130"/>
  <c r="K273"/>
  <c r="M273" l="1"/>
  <c r="O1100"/>
  <c r="P1100" s="1"/>
  <c r="E130" i="7"/>
  <c r="E128" s="1"/>
  <c r="M1111" i="8"/>
  <c r="M1130"/>
  <c r="P1127"/>
  <c r="N1109"/>
  <c r="N1111" s="1"/>
  <c r="L1130"/>
  <c r="L1132" s="1"/>
  <c r="K1111"/>
  <c r="C130" i="7"/>
  <c r="C128" s="1"/>
  <c r="N1132" i="8"/>
  <c r="F133" i="7"/>
  <c r="F131" s="1"/>
  <c r="K1132" i="8"/>
  <c r="C133" i="7"/>
  <c r="C131" s="1"/>
  <c r="AQ23" i="9"/>
  <c r="L1111" i="8"/>
  <c r="D130" i="7"/>
  <c r="D128" s="1"/>
  <c r="E133" l="1"/>
  <c r="E131" s="1"/>
  <c r="F130"/>
  <c r="F128" s="1"/>
  <c r="M1132" i="8"/>
  <c r="D133" i="7"/>
  <c r="D131" s="1"/>
  <c r="AW23" i="9"/>
  <c r="K274" i="8"/>
  <c r="J278"/>
  <c r="M274" l="1"/>
  <c r="O272"/>
  <c r="P272" s="1"/>
  <c r="C148" i="7"/>
  <c r="C146" s="1"/>
  <c r="E148"/>
  <c r="E146" s="1"/>
  <c r="K278" i="8"/>
  <c r="M278" l="1"/>
  <c r="O277"/>
  <c r="P277" s="1"/>
  <c r="K17" i="9"/>
  <c r="L285" i="8"/>
  <c r="D148" i="7"/>
  <c r="D146" s="1"/>
  <c r="J1252" i="8"/>
  <c r="K1250"/>
  <c r="M1250" l="1"/>
  <c r="O1249"/>
  <c r="P1249" s="1"/>
  <c r="K1248"/>
  <c r="D30" i="7"/>
  <c r="D28" s="1"/>
  <c r="L287" i="8"/>
  <c r="K1252"/>
  <c r="M1252" l="1"/>
  <c r="M1261" s="1"/>
  <c r="O1251"/>
  <c r="AX17" i="9"/>
  <c r="AX23" s="1"/>
  <c r="L1248" i="8"/>
  <c r="K1261"/>
  <c r="N1261"/>
  <c r="O1246" l="1"/>
  <c r="P1246" s="1"/>
  <c r="L1261"/>
  <c r="L1574" s="1"/>
  <c r="P1251"/>
  <c r="K1263"/>
  <c r="C151" i="7"/>
  <c r="C149" s="1"/>
  <c r="K562" i="8"/>
  <c r="M562" s="1"/>
  <c r="J563"/>
  <c r="K1322"/>
  <c r="M1322" s="1"/>
  <c r="O1321" s="1"/>
  <c r="J1326"/>
  <c r="K1326" s="1"/>
  <c r="M1326" l="1"/>
  <c r="O1325" s="1"/>
  <c r="P1325" s="1"/>
  <c r="P1321"/>
  <c r="BA17" i="9"/>
  <c r="BA23" s="1"/>
  <c r="F151" i="7"/>
  <c r="F149" s="1"/>
  <c r="L1330" i="8"/>
  <c r="D151" i="7"/>
  <c r="D149" s="1"/>
  <c r="L1263" i="8"/>
  <c r="N1263"/>
  <c r="K23" i="9"/>
  <c r="K285" i="8"/>
  <c r="M1263"/>
  <c r="E151" i="7"/>
  <c r="E149" s="1"/>
  <c r="K1330" i="8"/>
  <c r="J565"/>
  <c r="K563"/>
  <c r="M563" s="1"/>
  <c r="M1330" l="1"/>
  <c r="M1332" s="1"/>
  <c r="N1330"/>
  <c r="F160" i="7" s="1"/>
  <c r="F158" s="1"/>
  <c r="S15" i="9"/>
  <c r="C15" s="1"/>
  <c r="C30" i="7"/>
  <c r="C28" s="1"/>
  <c r="N285" i="8"/>
  <c r="K287"/>
  <c r="L1332"/>
  <c r="D160" i="7"/>
  <c r="D158" s="1"/>
  <c r="K1332" i="8"/>
  <c r="C160" i="7"/>
  <c r="C158" s="1"/>
  <c r="M285" i="8"/>
  <c r="K565"/>
  <c r="J566"/>
  <c r="E160" i="7" l="1"/>
  <c r="E158" s="1"/>
  <c r="M565" i="8"/>
  <c r="N1332"/>
  <c r="E30" i="7"/>
  <c r="E28" s="1"/>
  <c r="F30"/>
  <c r="F28" s="1"/>
  <c r="N287" i="8"/>
  <c r="M287"/>
  <c r="K566"/>
  <c r="M566" s="1"/>
  <c r="O562" l="1"/>
  <c r="P562" s="1"/>
  <c r="S17" i="9"/>
  <c r="C17" s="1"/>
  <c r="C23" s="1"/>
  <c r="P561" i="8"/>
  <c r="K568"/>
  <c r="K1574" s="1"/>
  <c r="N568"/>
  <c r="N1574" s="1"/>
  <c r="L568" l="1"/>
  <c r="S23" i="9"/>
  <c r="M568" i="8"/>
  <c r="M1574" s="1"/>
  <c r="N570"/>
  <c r="N1575" s="1"/>
  <c r="F55" i="7"/>
  <c r="F53" s="1"/>
  <c r="F191" s="1"/>
  <c r="K570" i="8"/>
  <c r="K1575" s="1"/>
  <c r="C55" i="7"/>
  <c r="C53" s="1"/>
  <c r="C191" s="1"/>
  <c r="L570" i="8" l="1"/>
  <c r="L1575" s="1"/>
  <c r="D55" i="7"/>
  <c r="D53" s="1"/>
  <c r="E55"/>
  <c r="E53" s="1"/>
  <c r="E191" s="1"/>
  <c r="M570" i="8"/>
  <c r="M1575" s="1"/>
  <c r="D115" i="7"/>
  <c r="D113" s="1"/>
  <c r="D191" l="1"/>
</calcChain>
</file>

<file path=xl/comments1.xml><?xml version="1.0" encoding="utf-8"?>
<comments xmlns="http://schemas.openxmlformats.org/spreadsheetml/2006/main">
  <authors>
    <author>cristinam</author>
  </authors>
  <commentList>
    <comment ref="D894" authorId="0">
      <text>
        <r>
          <rPr>
            <b/>
            <sz val="9"/>
            <color indexed="81"/>
            <rFont val="Tahoma"/>
            <family val="2"/>
          </rPr>
          <t>cristinam:</t>
        </r>
        <r>
          <rPr>
            <sz val="9"/>
            <color indexed="81"/>
            <rFont val="Tahoma"/>
            <family val="2"/>
          </rPr>
          <t xml:space="preserve">
140 = turisti in 2 hoteluri si 2 pensiuni
</t>
        </r>
      </text>
    </comment>
  </commentList>
</comments>
</file>

<file path=xl/sharedStrings.xml><?xml version="1.0" encoding="utf-8"?>
<sst xmlns="http://schemas.openxmlformats.org/spreadsheetml/2006/main" count="6702" uniqueCount="2118">
  <si>
    <t>LOCALITATE</t>
  </si>
  <si>
    <t>Dn 90</t>
  </si>
  <si>
    <t>Dn 110</t>
  </si>
  <si>
    <t>Dn 125</t>
  </si>
  <si>
    <t>Dn 150</t>
  </si>
  <si>
    <t>Dn 200</t>
  </si>
  <si>
    <t>Dn 250</t>
  </si>
  <si>
    <t>Dn 315</t>
  </si>
  <si>
    <t>Dn 350</t>
  </si>
  <si>
    <t>Dn 400</t>
  </si>
  <si>
    <t>Dn 500</t>
  </si>
  <si>
    <t>Dn 600</t>
  </si>
  <si>
    <t>Dn 800</t>
  </si>
  <si>
    <t>Dn 1000</t>
  </si>
  <si>
    <t>COMUNA</t>
  </si>
  <si>
    <t>MIHAI VITEAZU</t>
  </si>
  <si>
    <t>CHEIA</t>
  </si>
  <si>
    <t>LUNGIME / DIAMETRU POMPARE</t>
  </si>
  <si>
    <t>SP</t>
  </si>
  <si>
    <t>EXTINDERE</t>
  </si>
  <si>
    <t>REABILITARE</t>
  </si>
  <si>
    <t>TIP CONDUCTA</t>
  </si>
  <si>
    <t>CORNESTI</t>
  </si>
  <si>
    <t>MIHAI VITEZU</t>
  </si>
  <si>
    <t>LUNGIME / DIAMETRU (UM - m)</t>
  </si>
  <si>
    <t>Dn 100</t>
  </si>
  <si>
    <t>VIISOARA</t>
  </si>
  <si>
    <t>URCA</t>
  </si>
  <si>
    <t>Dn 75</t>
  </si>
  <si>
    <t>Dn 160</t>
  </si>
  <si>
    <t>CALARASI</t>
  </si>
  <si>
    <t>BOGATA</t>
  </si>
  <si>
    <t>CALARASI GARA</t>
  </si>
  <si>
    <t>CAMPIA TURZII</t>
  </si>
  <si>
    <t>CEANU MARE</t>
  </si>
  <si>
    <t>IACOBENI</t>
  </si>
  <si>
    <t>VALEA LUI CATI</t>
  </si>
  <si>
    <t>BOIAN</t>
  </si>
  <si>
    <t>HODAI-BOIAN</t>
  </si>
  <si>
    <t>BOLDUT</t>
  </si>
  <si>
    <t>SE</t>
  </si>
  <si>
    <t>ST</t>
  </si>
  <si>
    <t>SANDULESTI</t>
  </si>
  <si>
    <t>COPACENI</t>
  </si>
  <si>
    <t>REZERVOR</t>
  </si>
  <si>
    <t>1 X 200 mc</t>
  </si>
  <si>
    <t>Dn 63</t>
  </si>
  <si>
    <t>Dn 50</t>
  </si>
  <si>
    <t>Adincime</t>
  </si>
  <si>
    <t xml:space="preserve">   2m</t>
  </si>
  <si>
    <t>3m</t>
  </si>
  <si>
    <t>4m</t>
  </si>
  <si>
    <t>5m</t>
  </si>
  <si>
    <t>6m</t>
  </si>
  <si>
    <t>PVC DN150</t>
  </si>
  <si>
    <t>PVC DN200</t>
  </si>
  <si>
    <t>PVC DN250</t>
  </si>
  <si>
    <t>PVC DN300</t>
  </si>
  <si>
    <t>PVC DN400</t>
  </si>
  <si>
    <t>PVC DN500</t>
  </si>
  <si>
    <t>PVC DN600</t>
  </si>
  <si>
    <t>PVC DN700</t>
  </si>
  <si>
    <t>PVC DN800</t>
  </si>
  <si>
    <t>PVC DN900</t>
  </si>
  <si>
    <t>PVCDN1000</t>
  </si>
  <si>
    <t>PVCDN1250</t>
  </si>
  <si>
    <t>Diametru exterior</t>
  </si>
  <si>
    <t>Grosimea peretelui</t>
  </si>
  <si>
    <t>mm</t>
  </si>
  <si>
    <t>Terasamente</t>
  </si>
  <si>
    <t>H=1,20</t>
  </si>
  <si>
    <t>Total</t>
  </si>
  <si>
    <t>Desfacere si ref. drum/ml</t>
  </si>
  <si>
    <t>Total general</t>
  </si>
  <si>
    <t>Euro</t>
  </si>
  <si>
    <t>7 subtra-versari D.N.</t>
  </si>
  <si>
    <t>Retea</t>
  </si>
  <si>
    <t>lucrari speciale</t>
  </si>
  <si>
    <t>rezervor</t>
  </si>
  <si>
    <t>Lucrari speciale</t>
  </si>
  <si>
    <t>Preturi [Euro]</t>
  </si>
  <si>
    <t>Val./ELS</t>
  </si>
  <si>
    <t>Investiţii pentru staţii de epurare ape uzate           Euro</t>
  </si>
  <si>
    <t>Extinderi</t>
  </si>
  <si>
    <t>Reabilitari</t>
  </si>
  <si>
    <t>Total canal Mihai Viteazu</t>
  </si>
  <si>
    <t>Total canal Viisoara</t>
  </si>
  <si>
    <t>Total canal Calarasi</t>
  </si>
  <si>
    <t>Total canal Campia Turzii</t>
  </si>
  <si>
    <t>Total canal Ceanu Mare</t>
  </si>
  <si>
    <t>Total canal Sandulesti</t>
  </si>
  <si>
    <t>Total apa Mihai Viteazu</t>
  </si>
  <si>
    <t>Total apa Viisoara</t>
  </si>
  <si>
    <t>Total apa Calarasi</t>
  </si>
  <si>
    <t>Total apa Campia Turzii</t>
  </si>
  <si>
    <t>Total apa Ceanu Mare</t>
  </si>
  <si>
    <t>Total apa Sandulesti</t>
  </si>
  <si>
    <t>Total Mihai Viteazu</t>
  </si>
  <si>
    <t>Total Viisoara</t>
  </si>
  <si>
    <t>Total Calarasi</t>
  </si>
  <si>
    <t>Total Campia Turzii</t>
  </si>
  <si>
    <t>Total Ceanu Mare</t>
  </si>
  <si>
    <t>Total Sandulesti</t>
  </si>
  <si>
    <t>TURDA</t>
  </si>
  <si>
    <t>REABILITARE ADUCTIUNE</t>
  </si>
  <si>
    <t>Total apa Turda</t>
  </si>
  <si>
    <t>Total Turda</t>
  </si>
  <si>
    <t>Total canal Turda</t>
  </si>
  <si>
    <t>Pret conducta +fiting</t>
  </si>
  <si>
    <t>Planul de investitii pe termen lung</t>
  </si>
  <si>
    <t>Descriere</t>
  </si>
  <si>
    <t>Nr. crt.</t>
  </si>
  <si>
    <t>Alimentare cu apa</t>
  </si>
  <si>
    <t>Apa uzata</t>
  </si>
  <si>
    <t>2</t>
  </si>
  <si>
    <t>2.1</t>
  </si>
  <si>
    <t>2.2</t>
  </si>
  <si>
    <t>3.1</t>
  </si>
  <si>
    <t>4.1</t>
  </si>
  <si>
    <t>4.2</t>
  </si>
  <si>
    <t>5.1</t>
  </si>
  <si>
    <t>5.2</t>
  </si>
  <si>
    <t>6.1</t>
  </si>
  <si>
    <t>6.2</t>
  </si>
  <si>
    <t>7.1</t>
  </si>
  <si>
    <t>7.2</t>
  </si>
  <si>
    <t>8.1</t>
  </si>
  <si>
    <t>8.2</t>
  </si>
  <si>
    <t>9.1</t>
  </si>
  <si>
    <t>9.2</t>
  </si>
  <si>
    <t>10.1</t>
  </si>
  <si>
    <t>10.2</t>
  </si>
  <si>
    <t>11.1</t>
  </si>
  <si>
    <t>11.2</t>
  </si>
  <si>
    <t>12.1</t>
  </si>
  <si>
    <t>12.2</t>
  </si>
  <si>
    <t>1.1</t>
  </si>
  <si>
    <t>1.2</t>
  </si>
  <si>
    <t>Costuri totale de investitii pe categorii de cost pentru toate aglomerarile</t>
  </si>
  <si>
    <t>1</t>
  </si>
  <si>
    <t>Captare apa</t>
  </si>
  <si>
    <t>1.3</t>
  </si>
  <si>
    <t>1.4</t>
  </si>
  <si>
    <t>1.5</t>
  </si>
  <si>
    <t>Colector principal</t>
  </si>
  <si>
    <t>2.3</t>
  </si>
  <si>
    <t>2.4</t>
  </si>
  <si>
    <t>Tritenii de Jos</t>
  </si>
  <si>
    <t>Luna</t>
  </si>
  <si>
    <t>Gligoresti</t>
  </si>
  <si>
    <t>Luncani</t>
  </si>
  <si>
    <t>LUNA</t>
  </si>
  <si>
    <t>TRITENII DE JOS</t>
  </si>
  <si>
    <t>Triteni de Jos</t>
  </si>
  <si>
    <t>Colonia</t>
  </si>
  <si>
    <t>Padureni</t>
  </si>
  <si>
    <t>Triteni de Sus</t>
  </si>
  <si>
    <t>Total apa Luna</t>
  </si>
  <si>
    <t>Total apa Triteni de Jos</t>
  </si>
  <si>
    <t>Articol</t>
  </si>
  <si>
    <t>m</t>
  </si>
  <si>
    <t>buc.</t>
  </si>
  <si>
    <t>Statie de pompare ape uzate</t>
  </si>
  <si>
    <t>Cu 1+1 pompe</t>
  </si>
  <si>
    <t>Cu 2+1 pompe</t>
  </si>
  <si>
    <t>Ploscos</t>
  </si>
  <si>
    <t>Crairat</t>
  </si>
  <si>
    <t>Lodobas</t>
  </si>
  <si>
    <t>Valea Florilor</t>
  </si>
  <si>
    <t>Ciurila</t>
  </si>
  <si>
    <t>Filea de Jos</t>
  </si>
  <si>
    <t>Filea de Sus</t>
  </si>
  <si>
    <t>Prunis</t>
  </si>
  <si>
    <t>Salicea</t>
  </si>
  <si>
    <t>Saliste</t>
  </si>
  <si>
    <t>Sutu</t>
  </si>
  <si>
    <t>Total Ciurila</t>
  </si>
  <si>
    <t>Total Ploscos</t>
  </si>
  <si>
    <t>Petresti de Jos</t>
  </si>
  <si>
    <t>SCADA</t>
  </si>
  <si>
    <t>m3/zi</t>
  </si>
  <si>
    <t>m3</t>
  </si>
  <si>
    <t xml:space="preserve">Cantitatea zilnica de namol cu continut 20% SU </t>
  </si>
  <si>
    <t xml:space="preserve">Denumirea </t>
  </si>
  <si>
    <t>Cantit.</t>
  </si>
  <si>
    <t>U.M.</t>
  </si>
  <si>
    <t>Puterea instalata</t>
  </si>
  <si>
    <t>Putere totala</t>
  </si>
  <si>
    <t>Observatii</t>
  </si>
  <si>
    <t>Pret total [Euro]</t>
  </si>
  <si>
    <t>Calculatie instalatia dozare var</t>
  </si>
  <si>
    <t>Pret unitar     [ euro]</t>
  </si>
  <si>
    <t xml:space="preserve">Tratare cu var </t>
  </si>
  <si>
    <t>Cantitatea de var necesar</t>
  </si>
  <si>
    <t>Siloz de var</t>
  </si>
  <si>
    <t>Parametrii</t>
  </si>
  <si>
    <t>Transportor pentru var</t>
  </si>
  <si>
    <t>Malaxor var - namol</t>
  </si>
  <si>
    <t>Transportor evacuare namol</t>
  </si>
  <si>
    <t>Canitatea de namol evacuat</t>
  </si>
  <si>
    <t>Cantitatea de substanta uscata</t>
  </si>
  <si>
    <t>kg/zi</t>
  </si>
  <si>
    <t>Se aleg 3 silozuri sde 50 mc</t>
  </si>
  <si>
    <t>Total valoare</t>
  </si>
  <si>
    <t>3 extractoare si un transportor</t>
  </si>
  <si>
    <t>Malaxor biax</t>
  </si>
  <si>
    <t>Trnsportor eliciodal</t>
  </si>
  <si>
    <t>Tablou de comanda si automatizare</t>
  </si>
  <si>
    <t>Cladire amenajata cu platforme de incarcare in mijloc de transport</t>
  </si>
  <si>
    <t>Dimensiuni de 8 x 10 m</t>
  </si>
  <si>
    <t>Proiectare</t>
  </si>
  <si>
    <t>Total valoare cu rotunjiri</t>
  </si>
  <si>
    <t>Puturi</t>
  </si>
  <si>
    <t>1x250</t>
  </si>
  <si>
    <t>Pret puturi forate de medie adincime</t>
  </si>
  <si>
    <t>Pana la 10 kW</t>
  </si>
  <si>
    <t>Statii de tratare apa de suprafata</t>
  </si>
  <si>
    <t>Euro/buc.</t>
  </si>
  <si>
    <t>Q max. 15 l/s</t>
  </si>
  <si>
    <t>Q max. 30 l/s</t>
  </si>
  <si>
    <t>Statii de pompare apa potabila containerizata</t>
  </si>
  <si>
    <t>V= 200 mc</t>
  </si>
  <si>
    <t>V=250 mc</t>
  </si>
  <si>
    <t>Rezervoare metalice pentru apa</t>
  </si>
  <si>
    <t>PUTURI</t>
  </si>
  <si>
    <t>1 ST 850 els</t>
  </si>
  <si>
    <t>Petresti de Mijloc</t>
  </si>
  <si>
    <t>1 ST 200 els</t>
  </si>
  <si>
    <t>Petresti de Sus</t>
  </si>
  <si>
    <t>Deleni</t>
  </si>
  <si>
    <t>1 ST 350 els</t>
  </si>
  <si>
    <t>Craiesti</t>
  </si>
  <si>
    <t>1 ST 300 els</t>
  </si>
  <si>
    <t>Livada</t>
  </si>
  <si>
    <t>Plaiuri</t>
  </si>
  <si>
    <t>1 ST 250 els</t>
  </si>
  <si>
    <t>1x80 mc</t>
  </si>
  <si>
    <t>1x100 mc</t>
  </si>
  <si>
    <t>Fanate</t>
  </si>
  <si>
    <t>Strucut</t>
  </si>
  <si>
    <t>Ciurgau</t>
  </si>
  <si>
    <t>Dosul Napului</t>
  </si>
  <si>
    <t>TRITENI DE JOS</t>
  </si>
  <si>
    <t>Clapa</t>
  </si>
  <si>
    <t>Triteni Hotar</t>
  </si>
  <si>
    <t>PLOSCOS</t>
  </si>
  <si>
    <t>1x150 mc</t>
  </si>
  <si>
    <t>1 SE 1250 els</t>
  </si>
  <si>
    <t>1 SE 350 els</t>
  </si>
  <si>
    <t>1 SE 300 els</t>
  </si>
  <si>
    <t>1 SE 250 els</t>
  </si>
  <si>
    <t>1 SE 150 els</t>
  </si>
  <si>
    <t>1 SE 200 els</t>
  </si>
  <si>
    <t>1 SE 400 els</t>
  </si>
  <si>
    <t>1 SE 800 els in Ploscos</t>
  </si>
  <si>
    <t>V=100 mc</t>
  </si>
  <si>
    <t>Statii de tratare apa din foraje ( dezinfectie + debitmetrie )</t>
  </si>
  <si>
    <t>V=150 mc</t>
  </si>
  <si>
    <t>Q max. 5 l/s</t>
  </si>
  <si>
    <t>Q max. 8 l/s</t>
  </si>
  <si>
    <t>Q max. 10 l/s</t>
  </si>
  <si>
    <t>Q max. 3l/s</t>
  </si>
  <si>
    <t>V=80 mc</t>
  </si>
  <si>
    <t>Statii de epurare</t>
  </si>
  <si>
    <t>250 ELS</t>
  </si>
  <si>
    <t>300 ELS</t>
  </si>
  <si>
    <t>350 ELS</t>
  </si>
  <si>
    <t>500 ELS</t>
  </si>
  <si>
    <t>750 ELS</t>
  </si>
  <si>
    <t>Populaţii echivalente [ELS]</t>
  </si>
  <si>
    <t>Costuri totale                ( € )</t>
  </si>
  <si>
    <t>2600 - aductiune 750 - distributie</t>
  </si>
  <si>
    <t>6200 - aductiune</t>
  </si>
  <si>
    <t xml:space="preserve">Calculatie instalatia uscare </t>
  </si>
  <si>
    <t xml:space="preserve">Cantitatea zilnica de namol cu continut 25% SU </t>
  </si>
  <si>
    <t>m3zi</t>
  </si>
  <si>
    <t>Cladire amenajata pentru uscare namol, pompe de caldura aer-aer putere instalata 100 kW, , platforme de incarcare namol  in mijloc de transport</t>
  </si>
  <si>
    <t xml:space="preserve">Sistem fotovoltaic de producere energie electrica, </t>
  </si>
  <si>
    <t>1.6</t>
  </si>
  <si>
    <t>Rezervoare</t>
  </si>
  <si>
    <t>buc</t>
  </si>
  <si>
    <t>2.5</t>
  </si>
  <si>
    <t>2.6</t>
  </si>
  <si>
    <t>2,7</t>
  </si>
  <si>
    <t>13.1</t>
  </si>
  <si>
    <t>13.2</t>
  </si>
  <si>
    <t>14.1</t>
  </si>
  <si>
    <t>14.2</t>
  </si>
  <si>
    <t>15.1</t>
  </si>
  <si>
    <t>15.2</t>
  </si>
  <si>
    <t>16.1</t>
  </si>
  <si>
    <t>16.2</t>
  </si>
  <si>
    <t>17.1</t>
  </si>
  <si>
    <t>17.2</t>
  </si>
  <si>
    <t>18.1</t>
  </si>
  <si>
    <t>18.2</t>
  </si>
  <si>
    <t>19.1</t>
  </si>
  <si>
    <t>19.2</t>
  </si>
  <si>
    <t>20.1</t>
  </si>
  <si>
    <t>20.2</t>
  </si>
  <si>
    <t>21.1</t>
  </si>
  <si>
    <t>21.2</t>
  </si>
  <si>
    <t>Altele             (€)</t>
  </si>
  <si>
    <t>FC                        (€)</t>
  </si>
  <si>
    <t xml:space="preserve">Capacitate </t>
  </si>
  <si>
    <t>(mc)</t>
  </si>
  <si>
    <t>(euro/buc)</t>
  </si>
  <si>
    <t xml:space="preserve">Rezervor metalic nou </t>
  </si>
  <si>
    <t>Reabilitare rezervor</t>
  </si>
  <si>
    <t>(pt rez+Sp+scl)</t>
  </si>
  <si>
    <t>Capacitate</t>
  </si>
  <si>
    <t>euro</t>
  </si>
  <si>
    <t>Diametru</t>
  </si>
  <si>
    <t xml:space="preserve">SPAU </t>
  </si>
  <si>
    <t>Cost Total                       ( € )</t>
  </si>
  <si>
    <t xml:space="preserve">Cantitate        </t>
  </si>
  <si>
    <t>Unitate măsură 
(m sau buc)</t>
  </si>
  <si>
    <t>Cost unitar 
( € )</t>
  </si>
  <si>
    <t>Costuri totale 
( € )</t>
  </si>
  <si>
    <t>Stație tratare apă</t>
  </si>
  <si>
    <t>Aducțiuni apă</t>
  </si>
  <si>
    <t>Stații de pompare</t>
  </si>
  <si>
    <t>Rețea de distribuție</t>
  </si>
  <si>
    <t>Stație de epurare</t>
  </si>
  <si>
    <t>Stație de pompare</t>
  </si>
  <si>
    <t>Rețea apă uzată</t>
  </si>
  <si>
    <t>Nămol</t>
  </si>
  <si>
    <t>Total Comuna Galații Bistriței</t>
  </si>
  <si>
    <t>Total apă uzată Comuna Galații Bistriței</t>
  </si>
  <si>
    <t>Captare apă</t>
  </si>
  <si>
    <t>Rețea de distributție</t>
  </si>
  <si>
    <t>Total alimentare cu apă Comuna Dumitra</t>
  </si>
  <si>
    <t>Extindere rețea de distribuție în localitatea Lechința, Dn 110 mm, PEHD</t>
  </si>
  <si>
    <t>Extindere rețea de distribuție în localitatea Chiraleș, Dn 110 mm, PEHD</t>
  </si>
  <si>
    <t>Extindere rețea de distribuție în localitatea Vermeș, Dn 110 mm, PEHD</t>
  </si>
  <si>
    <t>Total alimentare cu apă Comuna Lechința</t>
  </si>
  <si>
    <t>Sursă de apă (puț forat) pentru localitatea Bungard</t>
  </si>
  <si>
    <t>Rețea nouă de canalizare în localitatea Vermeș, Dn 315 mm, PVC</t>
  </si>
  <si>
    <t>Rețea nouă de canalizare în localitatea Chiraleș, Dn 250 mm, PVC</t>
  </si>
  <si>
    <t>Rețea nouă de canalizare în localitatea Țigău, Dn 315 mm, PVC</t>
  </si>
  <si>
    <t>Rețea nouă de canalizare în localitatea Sângeorzu Nou, Dn 315 mm, PVC</t>
  </si>
  <si>
    <t>Total apă uzată Comuna Lechința</t>
  </si>
  <si>
    <t>Total Comuna Lechința</t>
  </si>
  <si>
    <t>Total apă uzată Comuna Nușeni</t>
  </si>
  <si>
    <t>Total Comuna Nușeni</t>
  </si>
  <si>
    <t>Extindere rețea de distribuție în localitatea Șieu Măgheruș, Dn 110 mm, PEHD</t>
  </si>
  <si>
    <t>Extindere rețea de distribuție în localitatea Crainimăt, Dn 110 mm, PEHD</t>
  </si>
  <si>
    <t>Total apă uzată Comuna Șieu - Măgheruș</t>
  </si>
  <si>
    <t xml:space="preserve">Total Comuna Șieu - Măgheruș </t>
  </si>
  <si>
    <t>Total apă uzată Comuna Șintereag</t>
  </si>
  <si>
    <t>Total Comuna Șintereag</t>
  </si>
  <si>
    <t>Total apă uzată Comuna Braniltea</t>
  </si>
  <si>
    <t>Total Comuna Braniștea</t>
  </si>
  <si>
    <t>Extindere rețea de distribuție în localitatea Braniștea, Dn 110 mm, PEHD</t>
  </si>
  <si>
    <t>Extindere rețea de distribuție în localitatea Măluț, Dn 110 mm, PEHD</t>
  </si>
  <si>
    <t>Extindere rețea de canalizare în localitatea Braniștea, Dn 250 mm, PVC</t>
  </si>
  <si>
    <t>Extindere rețea de canalizare în localitatea Măluț, Dn 250 mm, PVC</t>
  </si>
  <si>
    <t>Rețea nouă de distribuție în localitatea Mireș, Dn 110 mm, PEHD</t>
  </si>
  <si>
    <t>Total Comuna Chiuza</t>
  </si>
  <si>
    <t>Total apă uzată Comuna Uriu</t>
  </si>
  <si>
    <t>Total Comuna Uriu</t>
  </si>
  <si>
    <t>Extindere rețea de distribuție în localitatea Reteag, Dn 110 mm, PEHD</t>
  </si>
  <si>
    <t>Extindere rețea de distribuție în localitatea Bața, Dn 110 mm, PEHD</t>
  </si>
  <si>
    <t>Extindere rețea de canalizare în localitatea Reteag, Dn 250 mm, PVC</t>
  </si>
  <si>
    <t>Extindere rețea de canalizare în localitatea Bața, Dn 250 mm, PVC</t>
  </si>
  <si>
    <t>Total apă uzată Comuna Petru Rareș</t>
  </si>
  <si>
    <t>Total Comuna Petru Rareș</t>
  </si>
  <si>
    <t>Total apă uzată Comuna Ciceu Mihăești</t>
  </si>
  <si>
    <t>Total Comuna Ciceu Mihăești</t>
  </si>
  <si>
    <t>GALAȚII BISTRIȚEI</t>
  </si>
  <si>
    <t>Rețea nouă de canalizare în localitatea Dumitrița, Dn 250 mm, PVC</t>
  </si>
  <si>
    <t>Rețea nouă de canalizare în localitatea Ragla, Dn 250 mm, PVC</t>
  </si>
  <si>
    <t>Rețea nouă de canalizare în localitatea Budacu de Sus, Dn 250 mm, PVC</t>
  </si>
  <si>
    <t>Total apă uzată Comuna Dumitrița</t>
  </si>
  <si>
    <t>Total Comuna Dumitrița</t>
  </si>
  <si>
    <t>MILAȘ</t>
  </si>
  <si>
    <t>Total apă uzată Comuna Milaș</t>
  </si>
  <si>
    <t>Total Comuna Milaș</t>
  </si>
  <si>
    <t>Total apă uzată Comuna Budești</t>
  </si>
  <si>
    <t>Total Comuna Budești</t>
  </si>
  <si>
    <t>Total apă uzată Comuna Căianu Mic</t>
  </si>
  <si>
    <t>Total Comuna Căianu Mic</t>
  </si>
  <si>
    <t>Extindere rețea de distribuție în localitatea Căianu Mic, Dn 110 mm, PEHD</t>
  </si>
  <si>
    <t>Extindere rețea de distribuție în localitatea Căianu Mare, Dn 110 mm, PEHD</t>
  </si>
  <si>
    <t>Rețea nouă de distribuție în localitatea Dobric, Dn 110 mm, PEHD</t>
  </si>
  <si>
    <t>Rețea nouă de distribuție în localitatea Ciceu Poieni, Dn 110 mm, PEHD</t>
  </si>
  <si>
    <t>CHIOCHIȘ</t>
  </si>
  <si>
    <t>Total apă uzată Comuna Chiochiș</t>
  </si>
  <si>
    <t>Total Comuna Chiochiș</t>
  </si>
  <si>
    <t>Extindere rețea de distribuție în localitatea Ciceu - Giurgești, Dn 180 mm, PEHD</t>
  </si>
  <si>
    <t>Rețea nouă de distribuție în localitatea Dumbraveni, Dn 110 mm, PEHD</t>
  </si>
  <si>
    <t>Rețea de canalizare nouă în localitatea Dumbrăveni, DN 250 mm, PVC</t>
  </si>
  <si>
    <t>Total apă uzată Comuna Ciceu - Giurgești</t>
  </si>
  <si>
    <t>Total Comuna Ciceu Giurgești</t>
  </si>
  <si>
    <t>Extindere rețea de distribuție în localitatea Coșbuc, Dn 110 mm, PEHD</t>
  </si>
  <si>
    <t>Extindere rețea de canalizare în localitatea Coșbuc, Dn 250 mm, PVC</t>
  </si>
  <si>
    <t>Total apă uzată Comuna Coșbuc</t>
  </si>
  <si>
    <t>Total Comuna Coșbuc</t>
  </si>
  <si>
    <t>Total apă uzată Comuna Ilva Mică</t>
  </si>
  <si>
    <t>Total Comuna Ilva Mică</t>
  </si>
  <si>
    <t>Total apă uzată Comuna Leșu</t>
  </si>
  <si>
    <t>Total Comuna Leșu</t>
  </si>
  <si>
    <t>Extindere rețea de canalizare în localitatea Leșu, Dn 250 mm, PVC</t>
  </si>
  <si>
    <t>Total apă uzată Comuna Lunca Ilvei</t>
  </si>
  <si>
    <t>Total Comuna Lunca Ilvei</t>
  </si>
  <si>
    <t>MATEI</t>
  </si>
  <si>
    <t>Total apă uzată Comuna Matei</t>
  </si>
  <si>
    <t>Total Comuna Matei</t>
  </si>
  <si>
    <t>MĂRIȘELU</t>
  </si>
  <si>
    <t>Total apă uzată Comuna Mărișelu</t>
  </si>
  <si>
    <t>Extinderea conductei de aducțiune din localitatea Sărata în localitatea Domnești, Dn 200 mm, PEHD</t>
  </si>
  <si>
    <t>Total Comuna Mărișelu</t>
  </si>
  <si>
    <t>MICEȘTII DE CÂMPIE</t>
  </si>
  <si>
    <t>Total apă uzată Comuna Miceștii de Câmpie</t>
  </si>
  <si>
    <t>Total Comuna Miceștii de Câmpie</t>
  </si>
  <si>
    <t>Total apă uzată Comuna Negrilești</t>
  </si>
  <si>
    <t>Total Comuna Negrilești</t>
  </si>
  <si>
    <t>Rețea nouă de distribuție în localitatea Mititei, Dn 110 mm, PEHD</t>
  </si>
  <si>
    <t>Total apă uzată Comuna Nimigea</t>
  </si>
  <si>
    <t>Total Comuna Nimigea</t>
  </si>
  <si>
    <t>Total apă uzată Comuna Poiana Ilvei</t>
  </si>
  <si>
    <t>Total Comuna Poiana Ilvei</t>
  </si>
  <si>
    <t>Total apă uzată Comuna Rebra</t>
  </si>
  <si>
    <t>Total Comuna Rebra</t>
  </si>
  <si>
    <t>Total apă uzată Comuna Runcu Salvei</t>
  </si>
  <si>
    <t>Total Comuna Runcu Salvei</t>
  </si>
  <si>
    <t>Conductă de refulare apă uzată, Dn 160 mm, PEHD</t>
  </si>
  <si>
    <t>Extindere rețea de canalizare, Dn 315 mm, PVC</t>
  </si>
  <si>
    <t>Rețea de canalizare nouă în localitatea Runcu Salvei, Dn 315 mm, PVC</t>
  </si>
  <si>
    <t>Total apă uzată Comuna Spermezeu</t>
  </si>
  <si>
    <t>Total Comuna Spermezeu</t>
  </si>
  <si>
    <t>Puț forat pentru localitatea Șesuri Spermezeu - Vale</t>
  </si>
  <si>
    <t>Total apă uzată Comuna Șieu</t>
  </si>
  <si>
    <t>Total Comuna Șieu</t>
  </si>
  <si>
    <t>Total apă uzată Comuna Șieu - Odorhei</t>
  </si>
  <si>
    <t>Total Comuna Șieu - Odorhei</t>
  </si>
  <si>
    <t>Total apă uzată Comuna Șieuț</t>
  </si>
  <si>
    <t>Total Comuna Șieuț</t>
  </si>
  <si>
    <t>Total apă uzată Comuna Telciu</t>
  </si>
  <si>
    <t>Total Comuna Telciu</t>
  </si>
  <si>
    <t>Total apă uzată Comuna Zagra</t>
  </si>
  <si>
    <t>Total Comuna Zagra</t>
  </si>
  <si>
    <t>MUNICIPIUL BISTRIȚA</t>
  </si>
  <si>
    <t xml:space="preserve">Total alimentare cu apă Municipiul Bistrița </t>
  </si>
  <si>
    <t>Total apă uzată Municipiul Bistrița</t>
  </si>
  <si>
    <t>Total Municiupiul Bistrița</t>
  </si>
  <si>
    <t>Total apă uzată Comuna Budacu de Jos</t>
  </si>
  <si>
    <t>Total Comuna Budacu de Jos</t>
  </si>
  <si>
    <t>Total alimentare cu apă Comuna Cetate</t>
  </si>
  <si>
    <t>Total Comuna Cetate</t>
  </si>
  <si>
    <t>TEACA</t>
  </si>
  <si>
    <t>Total alimentare cu apă Comuna Teaca</t>
  </si>
  <si>
    <t>Total apă uzată Comuna Teaca</t>
  </si>
  <si>
    <t>Total Comuna Teaca</t>
  </si>
  <si>
    <t>Total alimentare cu apă Oraș Năsăud</t>
  </si>
  <si>
    <t>Total apă uzată Oraș Năsăud</t>
  </si>
  <si>
    <t>Total Oraș Năsăud</t>
  </si>
  <si>
    <t>SÂNMIHAIU DE CÂMPIE</t>
  </si>
  <si>
    <t>Total apă uzată Comuna Sânmihaiu de Câmpie</t>
  </si>
  <si>
    <t>Total Comuna Sânmihaiu de Câmpie</t>
  </si>
  <si>
    <t>Total alimentare cu apă Oraș Beclean</t>
  </si>
  <si>
    <t>Total Oraș Beclean</t>
  </si>
  <si>
    <t>Total alimentare cu apă Comuna Livezile</t>
  </si>
  <si>
    <t>Total apă uzată Comuna Livezile</t>
  </si>
  <si>
    <t>Total Comuna Livezile</t>
  </si>
  <si>
    <t>BISTRIȚA BÂRGĂULUI</t>
  </si>
  <si>
    <t>Total alimentare cu apă Comuna Bistrița Bârgăului</t>
  </si>
  <si>
    <t>Total apă uzată Comuna Bistrița Bârgăului</t>
  </si>
  <si>
    <t>Total Comuna Bistrița Bârgăului</t>
  </si>
  <si>
    <t>Total apă uzată Comuna Prundu Bârgăului</t>
  </si>
  <si>
    <t>Total Comuna Prundu Bârgăului</t>
  </si>
  <si>
    <t>Total alimentare cu apă Comuna Josenii Bârgăului</t>
  </si>
  <si>
    <t>Total apă uzată Comuna Josenii Bârgăului</t>
  </si>
  <si>
    <t>Total Comuna Josenii Bârgăului</t>
  </si>
  <si>
    <t>Total alimentare cu apă Comuna Tiha Bârgăului</t>
  </si>
  <si>
    <t>Total apă uzată Comuna Tiha Bârgăului</t>
  </si>
  <si>
    <t>Total Comuna Tiha Bârgăului</t>
  </si>
  <si>
    <t>Total alimentare cu apă Comuna Rebrișoara</t>
  </si>
  <si>
    <t>Total apă uzată Comuna Rebrișoara</t>
  </si>
  <si>
    <t>Total Comuna Rebrișoara</t>
  </si>
  <si>
    <t>Total alimentare cu apă Comuna Feldru</t>
  </si>
  <si>
    <t>Total apă uzată Comuna Feldru</t>
  </si>
  <si>
    <t>Total Comuna Feldru</t>
  </si>
  <si>
    <t>Total alimentare cu apă Comuna Salva</t>
  </si>
  <si>
    <t>Total apă uzată Comuna Salva</t>
  </si>
  <si>
    <t>Total Comuna Salva</t>
  </si>
  <si>
    <t>Total alimentare cu apă Comuna Maieru</t>
  </si>
  <si>
    <t>Total apă uzată Comuna Maieru</t>
  </si>
  <si>
    <t>Total Comuna Maieru</t>
  </si>
  <si>
    <t>Total alimentare cu apă Comuna Rodna</t>
  </si>
  <si>
    <t>Total Comuna Rodna</t>
  </si>
  <si>
    <t>Total alimentare cu apă Oraș Sângeorz- Băi</t>
  </si>
  <si>
    <t>Total apă uzată Oraș Sângeorz- Băi</t>
  </si>
  <si>
    <t>Total Oraș Sângeorz- Băi</t>
  </si>
  <si>
    <t>Extindere rețea de canalizare în localitatea Teaca, Dn 250 mm, PVC</t>
  </si>
  <si>
    <t>Rețea nouă de distribuție în localitatea Cușma, Dn 110 mm, PEHD</t>
  </si>
  <si>
    <t>Extindere rețea de canalizare pentru localitatea Bistrița Bârgăului, Dn 315 mm, PVC</t>
  </si>
  <si>
    <t>Extindere rețea de canalizare în localitatea Josenii Bârgăului, Dn 250 mm, PVC</t>
  </si>
  <si>
    <t>Extindere rețea de canalizare în localitatea Mijlocenii Bârgăului, Dn 250 mm, PVC</t>
  </si>
  <si>
    <t>Extindere rețea de canalizare în localitatea Rusu Bârgăului, Dn 250 mm, PVC</t>
  </si>
  <si>
    <t>Extindere rețea de canalizare în localitatea Prundu Bârgăului, Dn 250 mm, PVC</t>
  </si>
  <si>
    <t>Extindere rețea de canalizare în localitatea Susenii Bârgăului, Dn 250 mm, PVC</t>
  </si>
  <si>
    <t>Rețea nouă de canalizare în localitatea Tureac , Dn 315 mm, PVC</t>
  </si>
  <si>
    <t>Rețea nouă de canalizare în localitatea Mureșenii Bârgăului , Dn 315 mm, PVC</t>
  </si>
  <si>
    <t>Extindere rețea de distribuție în localitatea Nepos, Dn 125 mm, PEHD</t>
  </si>
  <si>
    <t>Extindere rețea de distribuție în localitatea Salva, Dn 110 mm, PEHD</t>
  </si>
  <si>
    <t>Extindere rețea de canalizare în localitatea Salva, Dn 250 mm, PVC</t>
  </si>
  <si>
    <t>Extindere rețea de distribuție în localitatea Maieru, Dn 110 mm, PEHD</t>
  </si>
  <si>
    <t>Extindere rețea de canalizare în localitatea Maieru, Dn 250 mm, PVC</t>
  </si>
  <si>
    <t>Înlocuirea angrenajului cu ecluza de ridicare</t>
  </si>
  <si>
    <t>Înlocuirea grătarelor de deșeuri</t>
  </si>
  <si>
    <t>Curățarea și realizarea unor porți de extracție adecvate</t>
  </si>
  <si>
    <t>Înlocuirea macaralei flotante de admisie</t>
  </si>
  <si>
    <t>Înlocuirea pompelor de captare a nisipului</t>
  </si>
  <si>
    <t>Înlocuirea unei conducte principale de Dn 600 mm la ST</t>
  </si>
  <si>
    <t>Remedierea lucrărilor civile pentru captarea din râul Someș</t>
  </si>
  <si>
    <t>Înlocuirea pompelor ineficiente</t>
  </si>
  <si>
    <t>Altele</t>
  </si>
  <si>
    <t>Total Altele Municipiul Bistrița</t>
  </si>
  <si>
    <t>Îmbunătățirea captării stației de tratare de la Bârgău</t>
  </si>
  <si>
    <t>Furnizarea automatizării pentru stația de tratare de la Bârgău</t>
  </si>
  <si>
    <t>Modernizarea echipamentelor M&amp;E</t>
  </si>
  <si>
    <t>Subtraversări de mari dimensiuni ale râului pentru conducta de aducțiune aferentă noii ST</t>
  </si>
  <si>
    <t>Înlocuirea/modernizarea rețelei de apă potabilă aferentă programului</t>
  </si>
  <si>
    <t>Extindere rețea de distribuție în localitatea Poiana Ilvei, Dn 110 mm, PEHD</t>
  </si>
  <si>
    <t>Înlocuirea conductelor din azbociment</t>
  </si>
  <si>
    <t>Înlocuirea conductelor existente din oțel</t>
  </si>
  <si>
    <t>Rețea nouă de canalizare în localitate Galații Bistriței, Dn 250 mm, PVC</t>
  </si>
  <si>
    <t>Rețea nouă de canalizare în localitate Dipșa, Dn 250 mm, PVC</t>
  </si>
  <si>
    <t>Rețea nouă de canalizare în localitate Herina, Dn 250 mm, PVC</t>
  </si>
  <si>
    <t>Total alimentare cu apă Comuna Milaș</t>
  </si>
  <si>
    <t>Aducțiune apă</t>
  </si>
  <si>
    <t>Extindere conductă de aducțiune din localitatea Mijlocenii Bârgăului în localitatea Strîmba, Dn 110 mm, PEHD</t>
  </si>
  <si>
    <t>Extindere rețea de distribuție în localitatea Josenii Bârgăului, Dn 110 mm, PEHD</t>
  </si>
  <si>
    <t>Extindere rețea de distribuție în localitatea Mijlocenii Bârgăului, Dn 110 mm, PEHD</t>
  </si>
  <si>
    <t>Extindere rețea de distribuție în localitatea Rusu Bârgăului, Dn 110 mm, PEHD</t>
  </si>
  <si>
    <t>Extindere rețea de distribuție în localitatea Tiha Bârgăului, Dn 125 mm, PEHD</t>
  </si>
  <si>
    <t>Rețea nouă de canalizare în localitatea Tiha Bârgăului, Dn 315 mm, PVC</t>
  </si>
  <si>
    <t>Extindere rețea de distribuție în localitatea Runcu Salvei, Dn 110 mm, PEHD</t>
  </si>
  <si>
    <t>Extinderea conductei de aducțiune din localitatea Căianu Mic în localitatea Dumbravița, Dn 125 mm, PEHD</t>
  </si>
  <si>
    <t>Extindere conductă de aducțiune din localitatea Strâmba în localitatea Dumbrava, Dn 110 mm, PEHD</t>
  </si>
  <si>
    <t>Extindere rețea de distribuție în localitățile Telciu și Telcișor, Dn 110 mm, PEHD</t>
  </si>
  <si>
    <t>Extindere rețea de canalizare pentru localitatea Lechința, Dn 250 mm, PVC</t>
  </si>
  <si>
    <t>Total alimentare cu apă Comuna Ilva Mare</t>
  </si>
  <si>
    <t>Total apă uzată Comuna Ilva Mare</t>
  </si>
  <si>
    <t>Total Comuna Ilva Mare</t>
  </si>
  <si>
    <t>Extindere rețea de distribuție în localitatea Ilva Mare, Dn 125 mm, PEHD (pe DN)</t>
  </si>
  <si>
    <t>Extindere rețea de distribuție în localitatea Ilva Mare, Dn 110 mm, PEHD</t>
  </si>
  <si>
    <t>Extindere rețea de canalizare în localitatea Ilva Mare, Dn 250 mm, PVC</t>
  </si>
  <si>
    <t>Extindere rețea de distribuție în localitatea Șieu, Dn 110 mm, PEHD</t>
  </si>
  <si>
    <t>Extindere rețea de distribuție în localitatea Lunca Ilvei,  Dn 110 mm, PEHD</t>
  </si>
  <si>
    <t>Extindere rețea de canalizare în localitatea Lunca Ilvei, Dn 250 mm, PVC</t>
  </si>
  <si>
    <t>Extindere rețea de canalizare în Cartier Zăvoaie, Dn 315 mm, PVC</t>
  </si>
  <si>
    <t>Extinderea rețelei de distribuție în Cartier Valea Ghinzii, Dn 90 mm, PEHD</t>
  </si>
  <si>
    <t>Stație de pompare apă potabilă în Cartier Valea Ghinzii</t>
  </si>
  <si>
    <t>Extinderea rețelei de apă în Cartier Unirea, Dn 110 mm, PEHD</t>
  </si>
  <si>
    <t>Reabilitarea rețelei de distribuție în Cartier Unirea, Dn 90 mm, PEHD</t>
  </si>
  <si>
    <t>Reabilitare rețea de canalizare în Cartier Unirea, Dn 250 mm, PVC</t>
  </si>
  <si>
    <t>Extindere rețea de distribuție în zona Drumul Tărpiului, Dn 110 mm, PEHD</t>
  </si>
  <si>
    <r>
      <t>Reabilitare rezervor de înmagazinare a apei oraș Bistrița, V =  5 000 m</t>
    </r>
    <r>
      <rPr>
        <vertAlign val="superscript"/>
        <sz val="11"/>
        <color theme="1"/>
        <rFont val="Calibri"/>
        <family val="2"/>
        <scheme val="minor"/>
      </rPr>
      <t>3</t>
    </r>
    <r>
      <rPr>
        <sz val="11"/>
        <color theme="1"/>
        <rFont val="Calibri"/>
        <family val="2"/>
        <scheme val="minor"/>
      </rPr>
      <t xml:space="preserve"> (construcții, izolații,instalații hidraulice, cămine de vane, împrejmuire)</t>
    </r>
  </si>
  <si>
    <r>
      <t>Reabilitare rezervor de înmagazinare a apei pădurea Ghinzii, V =  300 m</t>
    </r>
    <r>
      <rPr>
        <vertAlign val="superscript"/>
        <sz val="11"/>
        <color theme="1"/>
        <rFont val="Calibri"/>
        <family val="2"/>
        <scheme val="minor"/>
      </rPr>
      <t>3</t>
    </r>
    <r>
      <rPr>
        <sz val="11"/>
        <color theme="1"/>
        <rFont val="Calibri"/>
        <family val="2"/>
        <scheme val="minor"/>
      </rPr>
      <t xml:space="preserve"> (construcții, izolații,instalații hidraulice, cămine de vane, împrejmuire)</t>
    </r>
  </si>
  <si>
    <r>
      <t>Reabilitare rezervor de înmagazinare a apei pădurea Ghinzii, V =  750 m</t>
    </r>
    <r>
      <rPr>
        <vertAlign val="superscript"/>
        <sz val="11"/>
        <color theme="1"/>
        <rFont val="Calibri"/>
        <family val="2"/>
        <scheme val="minor"/>
      </rPr>
      <t>3</t>
    </r>
    <r>
      <rPr>
        <sz val="11"/>
        <color theme="1"/>
        <rFont val="Calibri"/>
        <family val="2"/>
        <scheme val="minor"/>
      </rPr>
      <t xml:space="preserve"> (construcții, izolații,instalații hidraulice, cămine de vane, împrejmuire)</t>
    </r>
  </si>
  <si>
    <t>Reabilitarea galeriei de filtre 1 - 8 și  9 - 22 în stația de tratare Bistrița</t>
  </si>
  <si>
    <t>Reabilitarea sursei Cușma (reabilitare pavilion exploatare - acoperiș, zidărie, instalații electrice; relizare stație filtrare apă)</t>
  </si>
  <si>
    <t>Reabilitare rețea de transport apă Bistrița - Lechința, Dn 400 mm, PEHD</t>
  </si>
  <si>
    <t>Înlocuire rețea de distribuție din fontă în localitatea turistica Colibița, Dn 110 mm, PEHD</t>
  </si>
  <si>
    <t>Înlocuire rețea de distribuție din azbociment cu PEHD, Dn 110 mm</t>
  </si>
  <si>
    <t>Înlocuire rețea de distribuție din azbociment cu PEHD, Dn 160 mm</t>
  </si>
  <si>
    <t>Înlocuire rețea de distribuție din oțel cu PEHD, Dn 90 mm</t>
  </si>
  <si>
    <t>Înlocuire rețea de distribuție din oțel cu PEHD, Dn 110 mm</t>
  </si>
  <si>
    <t>Înlocuire rețea de distribuție din oțel cu PEHD, Dn 160 mm</t>
  </si>
  <si>
    <t>Înlocuire rețea de distribuție din fonta cu PEHD, Dn 110 mm</t>
  </si>
  <si>
    <r>
      <t>Reabilitare rezervor de înmagazinare a apei în localitatea Satu Nou, V = 200 m</t>
    </r>
    <r>
      <rPr>
        <vertAlign val="superscript"/>
        <sz val="11"/>
        <color theme="1"/>
        <rFont val="Calibri"/>
        <family val="2"/>
        <scheme val="minor"/>
      </rPr>
      <t>3</t>
    </r>
    <r>
      <rPr>
        <sz val="11"/>
        <color theme="1"/>
        <rFont val="Calibri"/>
        <family val="2"/>
        <scheme val="minor"/>
      </rPr>
      <t xml:space="preserve"> (construcții, izolații, instalații hidraulice, cămine vane, imprejmuire)</t>
    </r>
  </si>
  <si>
    <t>Total alimentare cu apă Comuna Căianu Mic</t>
  </si>
  <si>
    <t>Total alimentare cu apă Comuna Chiochiș</t>
  </si>
  <si>
    <t>Total alimentare cu apă Comuna Ciceu - Giurgești</t>
  </si>
  <si>
    <t>Total alimentare cu apă Comuna Coșbuc</t>
  </si>
  <si>
    <t>Total alimentare cu apă Comuna Ilva Mică</t>
  </si>
  <si>
    <t>Total alimentare cu apă Comuna Leșu</t>
  </si>
  <si>
    <t>Total alimentare cu apă Comuna Lunca Ilvei</t>
  </si>
  <si>
    <t>Extinderea conductei de aducțiune din localitatea Corvinești în localitatea Bidiu + Enciu, Dn 125 mm, PEHD</t>
  </si>
  <si>
    <t>Total alimentare cu apă Comuna Nimigea</t>
  </si>
  <si>
    <t>Total alimentare cu apă Comuna Poiana Ilvei</t>
  </si>
  <si>
    <t>Total alimentare cu apă Comuna Runcu Salvei</t>
  </si>
  <si>
    <t>Total alimentare cu apă Comuna Spermezeu</t>
  </si>
  <si>
    <t>Total alimentare cu apă Comuna Șieu</t>
  </si>
  <si>
    <t>Total alimentare cu apă Comuna Telciu</t>
  </si>
  <si>
    <t>Total alimentare cu apă Comuna Zagra</t>
  </si>
  <si>
    <t>Total alimentare cu apă Comuna Șieu Măgheruș</t>
  </si>
  <si>
    <t>Total General Alimentare cu Apa</t>
  </si>
  <si>
    <t>Total General Apa Uzata</t>
  </si>
  <si>
    <t>TOTAL GENERAL</t>
  </si>
  <si>
    <t>Soluție individuală de epurare pentru localitatea Bungard</t>
  </si>
  <si>
    <t>Soluție individuală de epurare pentru localitatea Valea Măgheruș</t>
  </si>
  <si>
    <t>Soluție individuală de epurare pentru localitatea Albeștii Bistriței</t>
  </si>
  <si>
    <t>Soluție individuală de epurare pentru localitatea Tonciu</t>
  </si>
  <si>
    <t>Soluție individuală de epurare pentru localitatea Șintereag Gară</t>
  </si>
  <si>
    <t>Soluție individuală de epurare pentru localitatea Ciceu Corabia</t>
  </si>
  <si>
    <t>Soluție individuală de epurare pentru localitatea Comlod</t>
  </si>
  <si>
    <t>Soluție individuală de epurare pentru localitatea Jimbor</t>
  </si>
  <si>
    <t>Soluție individuală de epurare pentru localitatea Buza Cătun</t>
  </si>
  <si>
    <t>Soluție individuală de epurare pentru localitatea Manic</t>
  </si>
  <si>
    <t>Soluție individuală de epurare pentru localitatea Sânticora</t>
  </si>
  <si>
    <t>Soluție individuală de epurare pentru localitatea Țentea</t>
  </si>
  <si>
    <t>Soluție individuală de epurare pentru localitatea Păltineasa</t>
  </si>
  <si>
    <t>Soluție individuală de epurare pentru  localitatea Sesuri - Spermezeu Vale</t>
  </si>
  <si>
    <t>Total alimentare cu apă Comuna Petru Rareș</t>
  </si>
  <si>
    <t>Total alimentare cu apă Comuna Matei</t>
  </si>
  <si>
    <t>Total alimentare cu apă Comuna Mărișelu</t>
  </si>
  <si>
    <t>Total alimentare cu apă Comuna Sânmihaiu de Câmpie</t>
  </si>
  <si>
    <t>Localitate</t>
  </si>
  <si>
    <t>Populație</t>
  </si>
  <si>
    <t>Bistrița</t>
  </si>
  <si>
    <t>Oraș Bistrița</t>
  </si>
  <si>
    <r>
      <t>Reabilitare rezervor de înmagazinare a apei oraș Bistrița, V = 10 000 m</t>
    </r>
    <r>
      <rPr>
        <vertAlign val="superscript"/>
        <sz val="11"/>
        <color theme="1"/>
        <rFont val="Calibri"/>
        <family val="2"/>
        <scheme val="minor"/>
      </rPr>
      <t>3</t>
    </r>
    <r>
      <rPr>
        <sz val="11"/>
        <color theme="1"/>
        <rFont val="Calibri"/>
        <family val="2"/>
        <scheme val="minor"/>
      </rPr>
      <t xml:space="preserve"> (construcții, izolații,instalații hidraulice, cămine de vane, împrejmuire</t>
    </r>
  </si>
  <si>
    <r>
      <t>Reabilitare rezervor de înmagazinare a apei MAIA, V =  5 000 m</t>
    </r>
    <r>
      <rPr>
        <vertAlign val="superscript"/>
        <sz val="11"/>
        <color theme="1"/>
        <rFont val="Calibri"/>
        <family val="2"/>
        <scheme val="minor"/>
      </rPr>
      <t>3</t>
    </r>
    <r>
      <rPr>
        <sz val="11"/>
        <color theme="1"/>
        <rFont val="Calibri"/>
        <family val="2"/>
        <scheme val="minor"/>
      </rPr>
      <t xml:space="preserve"> (construcții, izolații,instalații hidraulice, cămine de vane, împrejmuire)</t>
    </r>
  </si>
  <si>
    <t>Extindere rețea de distribuție în Zona Zavoaie, Dn 110 mm, PEHD</t>
  </si>
  <si>
    <t>Aglomerare</t>
  </si>
  <si>
    <t>Bistrita</t>
  </si>
  <si>
    <t>Aducțiuni apa</t>
  </si>
  <si>
    <t>Satu Nou</t>
  </si>
  <si>
    <t>818</t>
  </si>
  <si>
    <t>Galații Bistriței</t>
  </si>
  <si>
    <t>Albeștii Bistriței</t>
  </si>
  <si>
    <t>Tonciu</t>
  </si>
  <si>
    <t>Cepari</t>
  </si>
  <si>
    <t>Tărpiu</t>
  </si>
  <si>
    <t>Lechința</t>
  </si>
  <si>
    <t>Chiraleș</t>
  </si>
  <si>
    <t>Vermeș</t>
  </si>
  <si>
    <t>Sângeorzu Nou</t>
  </si>
  <si>
    <t>Bungard</t>
  </si>
  <si>
    <t>Comuna</t>
  </si>
  <si>
    <t>Sâniacob</t>
  </si>
  <si>
    <t>Țigău</t>
  </si>
  <si>
    <t>Nușeni</t>
  </si>
  <si>
    <t>Vița</t>
  </si>
  <si>
    <t>Malin</t>
  </si>
  <si>
    <t>Șieu Măgheruș</t>
  </si>
  <si>
    <t>Crainimăt</t>
  </si>
  <si>
    <t>Sărățel</t>
  </si>
  <si>
    <t>Arcalia</t>
  </si>
  <si>
    <t>Valea Măgheruș</t>
  </si>
  <si>
    <t>Aducțiune</t>
  </si>
  <si>
    <t>Șintereag</t>
  </si>
  <si>
    <t>Șieu - Sfântu</t>
  </si>
  <si>
    <t>Șintereag - Gară</t>
  </si>
  <si>
    <t>Teaca</t>
  </si>
  <si>
    <t>Archiud</t>
  </si>
  <si>
    <t>Pinticu</t>
  </si>
  <si>
    <t>Ocnița</t>
  </si>
  <si>
    <t>Budurleni</t>
  </si>
  <si>
    <t>Total investiție pe aglomerare/cluster/
localitate</t>
  </si>
  <si>
    <t>Beclean</t>
  </si>
  <si>
    <t>Braniștea</t>
  </si>
  <si>
    <t>Cireșoaia</t>
  </si>
  <si>
    <t>Braniștea 
+
Măluț</t>
  </si>
  <si>
    <t>Milaș</t>
  </si>
  <si>
    <t>Mireș</t>
  </si>
  <si>
    <t>Total alimentare cu apă Comuna Chiuza</t>
  </si>
  <si>
    <t>Uriu</t>
  </si>
  <si>
    <t>Hășmașu Ciceului</t>
  </si>
  <si>
    <t>Total alimentare cu apă Comuna Uriu</t>
  </si>
  <si>
    <t>Reteag</t>
  </si>
  <si>
    <t>Bața</t>
  </si>
  <si>
    <t>Ciceu Mihăești</t>
  </si>
  <si>
    <t>937</t>
  </si>
  <si>
    <t>Ciceu Corabia</t>
  </si>
  <si>
    <t>Lelești</t>
  </si>
  <si>
    <t xml:space="preserve">Comuna </t>
  </si>
  <si>
    <t>Dumitrița</t>
  </si>
  <si>
    <t>Orosfaia</t>
  </si>
  <si>
    <t>Comlod</t>
  </si>
  <si>
    <t>Dumbrava</t>
  </si>
  <si>
    <t>Cușma</t>
  </si>
  <si>
    <t>Valea Poienii</t>
  </si>
  <si>
    <t>Stație de tratare</t>
  </si>
  <si>
    <t>Josenii Bârgaului</t>
  </si>
  <si>
    <t>Mijlocenii Bârgăului</t>
  </si>
  <si>
    <t>Rusu Bârgăului</t>
  </si>
  <si>
    <t>Strâmba</t>
  </si>
  <si>
    <t>Prundu Bârgului</t>
  </si>
  <si>
    <t>Susenii Bârgaului</t>
  </si>
  <si>
    <t>Tiha Bârgaului</t>
  </si>
  <si>
    <t>Mureșenii Bârgăului</t>
  </si>
  <si>
    <t>Tureac</t>
  </si>
  <si>
    <t>Năsăud</t>
  </si>
  <si>
    <t>Rebrișoara</t>
  </si>
  <si>
    <t>Nepos</t>
  </si>
  <si>
    <t>Salva</t>
  </si>
  <si>
    <t>Maieru</t>
  </si>
  <si>
    <t>Rodna</t>
  </si>
  <si>
    <t>Total alimentare cu apă Comuna Budești</t>
  </si>
  <si>
    <t>Căianu Mic</t>
  </si>
  <si>
    <t>Căianu Mare</t>
  </si>
  <si>
    <t>Dobric</t>
  </si>
  <si>
    <t>Ciceu Poieni</t>
  </si>
  <si>
    <t>Chiochiș</t>
  </si>
  <si>
    <t>Țentea 
+
Santicoara</t>
  </si>
  <si>
    <t>Jimbor 
+
Buza Cătun
+
Manic</t>
  </si>
  <si>
    <t>Bozieș 
+
Chețiu</t>
  </si>
  <si>
    <t>Apatiu</t>
  </si>
  <si>
    <t>Strugureni</t>
  </si>
  <si>
    <t>Jimbor</t>
  </si>
  <si>
    <t>Buza Cătun</t>
  </si>
  <si>
    <t>Manic</t>
  </si>
  <si>
    <t>Sânticoara</t>
  </si>
  <si>
    <t>Țentea</t>
  </si>
  <si>
    <t>Ciceu - Giurgești</t>
  </si>
  <si>
    <t>Dumbraveni</t>
  </si>
  <si>
    <t>Coșbuc</t>
  </si>
  <si>
    <t>Ilva Mare</t>
  </si>
  <si>
    <t>Ilva Mică</t>
  </si>
  <si>
    <t>Leșu</t>
  </si>
  <si>
    <t>Lunca Leșului</t>
  </si>
  <si>
    <t>Lunca Ilvei</t>
  </si>
  <si>
    <t>Matei</t>
  </si>
  <si>
    <t>Moruț</t>
  </si>
  <si>
    <t>Fântânele</t>
  </si>
  <si>
    <t>Bidiu 
+
Enciu</t>
  </si>
  <si>
    <t>Mărișelu</t>
  </si>
  <si>
    <t>Mărișelu
+
Măgurele</t>
  </si>
  <si>
    <t>Domnești</t>
  </si>
  <si>
    <t>Bârla 
+
Sântioana</t>
  </si>
  <si>
    <t>Jeica</t>
  </si>
  <si>
    <t>Soluție individuală de epurare pentru localitatea Jeica</t>
  </si>
  <si>
    <t>Miceștii de Câmpie</t>
  </si>
  <si>
    <t>Negrilești</t>
  </si>
  <si>
    <t>Nimigea</t>
  </si>
  <si>
    <t>Nimigea de Sus</t>
  </si>
  <si>
    <t>Mintiu</t>
  </si>
  <si>
    <t>Taure</t>
  </si>
  <si>
    <t>Mogoșeni</t>
  </si>
  <si>
    <t>Mititei</t>
  </si>
  <si>
    <t>758</t>
  </si>
  <si>
    <t>Poiana Ilvei</t>
  </si>
  <si>
    <t>Rebra</t>
  </si>
  <si>
    <t>Runcu Salvei</t>
  </si>
  <si>
    <t>Sânmihaiu de Câmpie</t>
  </si>
  <si>
    <t>Spermezeu</t>
  </si>
  <si>
    <t>Spermezeu
+
Dobricel
+
Lunca Borlesei
+
Păltineasa
+
Sita</t>
  </si>
  <si>
    <t>Dumbrăvița</t>
  </si>
  <si>
    <t>Dumbravița</t>
  </si>
  <si>
    <t>Dobricel</t>
  </si>
  <si>
    <t>Păltineasa</t>
  </si>
  <si>
    <t>Spermezeu Vale</t>
  </si>
  <si>
    <t>Șieu</t>
  </si>
  <si>
    <t>Șoimuș</t>
  </si>
  <si>
    <t>Ardan</t>
  </si>
  <si>
    <t>Posmuș</t>
  </si>
  <si>
    <t>Șieu 
+
Ardan
+
Posmuș</t>
  </si>
  <si>
    <t>Șieu Odorhei</t>
  </si>
  <si>
    <t>Coasta</t>
  </si>
  <si>
    <t>Șirioara</t>
  </si>
  <si>
    <t>Agrișu de Sus</t>
  </si>
  <si>
    <t>Agrișu de Jos</t>
  </si>
  <si>
    <t>Telciu</t>
  </si>
  <si>
    <t>Telciu 
+
Telcișor</t>
  </si>
  <si>
    <t>Zagra</t>
  </si>
  <si>
    <t>Alunișul</t>
  </si>
  <si>
    <t>Suplai</t>
  </si>
  <si>
    <t>Stație nouă de pompare apă potabilă în Zona Budacul - Lempeș</t>
  </si>
  <si>
    <t>Stație nouă de pompare apă potabilă în Zona Drumul Tărpiului</t>
  </si>
  <si>
    <t xml:space="preserve">Soluție individuală de epurare pentru localitatea Budurleni  </t>
  </si>
  <si>
    <t>Stație nouă de pompare pe rețeaua de canalizare</t>
  </si>
  <si>
    <t>Conductă nouă de aducțiune din Sigmir în localitatea Valea Magheruș, Dn 110 mm, PEHD</t>
  </si>
  <si>
    <t>Înlocuirea echipamentelor M&amp;E ce se află în stare critică în cadrul ST</t>
  </si>
  <si>
    <t>Înlocuire rețea de distribuție din azbociment cu PEHD, Dn 250 mm</t>
  </si>
  <si>
    <t>Înlocuire rețea de distribuție din oțel cu PEHD, Dn 125 mm</t>
  </si>
  <si>
    <t>Extindere rețea de distribuție în localitatea Rusu de Jos, Dn 110 mm, PEHD</t>
  </si>
  <si>
    <t>Extindere rețea de distribuție în zona Valea Viilor, Dn 110 mm, PEHD</t>
  </si>
  <si>
    <t>Rețea nouă de canalizare în zona Valea Viilor, Dn 250 mm, PVC</t>
  </si>
  <si>
    <t>Rețea nouă de canalizare în zona Beclenuț, Dn 250 mm, PVC</t>
  </si>
  <si>
    <t>Rețea nouă de canalizare în localitatea Rusu de Jos, Dn 250 mm, PVC</t>
  </si>
  <si>
    <t>Înlocuirea echipamentelor cheie M&amp;E mai vechi de 15 ani</t>
  </si>
  <si>
    <t>Rețea nouă de distribuție în localitatea Slătinița, Dn 110 mm, PEHD</t>
  </si>
  <si>
    <t>Asigurarea suprotului financiar pentru instalarea foselor septice în comunele sărace</t>
  </si>
  <si>
    <t>Înlocuire conducte din azbociment cu PEHD, Dn 110 mm</t>
  </si>
  <si>
    <t>Înlocuire conducte din azbociment cu PEHD, Dn 90 mm</t>
  </si>
  <si>
    <t>Înlocuire conducte din azbociment cu PEHD, Dn 160 mm</t>
  </si>
  <si>
    <t>Înlocuire conducte din azbociment cu PEHD, Dn 200 mm</t>
  </si>
  <si>
    <t>Înlocuire conducte de azociment</t>
  </si>
  <si>
    <t>Extindere rețea de distribuție în cartierul Lușca, PEHD, Dn 110 mm</t>
  </si>
  <si>
    <t>Extindere rețea de distribuție în cartierul Liviu Rebreanu, Dn 110 mm, PEHD</t>
  </si>
  <si>
    <t>Rețea de distribuție nouă în zona industrială, Dn 250 mm, PEHD</t>
  </si>
  <si>
    <t>Înlocuirea conductelor de oțel cu PEHD, Dn 125 mm</t>
  </si>
  <si>
    <t>Înlocuirea conductelor de oțel</t>
  </si>
  <si>
    <t>Sângeorz - Băi</t>
  </si>
  <si>
    <t>Extindere rețea de distribuție în Cormaia, Dn 110 mm, PEHD</t>
  </si>
  <si>
    <t>Rețea de canalizare nouă pentru localitatea  Cormaia, DN 250 mm, PVC</t>
  </si>
  <si>
    <t>Înlocuire conductă azbociment cu PEHD, Dn 110 mm</t>
  </si>
  <si>
    <t>Înlocuire conductă azbociment cu PEHD, Dn 160 mm</t>
  </si>
  <si>
    <t>Înlocuire conductă azbociment cu PEHD, Dn 250 mm</t>
  </si>
  <si>
    <t>Înlocuire conducte existete de oțel cu PEHD, Dn 110 mm</t>
  </si>
  <si>
    <t>Budești</t>
  </si>
  <si>
    <t>Budești
+
Budești - Fânațe
+
Tâgu
+
Tâgșor</t>
  </si>
  <si>
    <t>640</t>
  </si>
  <si>
    <t>Budești  - Fânațe</t>
  </si>
  <si>
    <t>Tâgu</t>
  </si>
  <si>
    <t>Tâgșoru</t>
  </si>
  <si>
    <t>728</t>
  </si>
  <si>
    <t>Corvinești</t>
  </si>
  <si>
    <t>729</t>
  </si>
  <si>
    <t>241</t>
  </si>
  <si>
    <t>602</t>
  </si>
  <si>
    <t>2014-2020</t>
  </si>
  <si>
    <t>Fântânița</t>
  </si>
  <si>
    <t>Total alimentare cu apă Comuna Miceștii de Câmpie</t>
  </si>
  <si>
    <t>Vișuia</t>
  </si>
  <si>
    <t>Zoreni</t>
  </si>
  <si>
    <t xml:space="preserve">La Curte
+
Stupeni </t>
  </si>
  <si>
    <t xml:space="preserve">Soluție individuală de epurare în localitățile La Curte și Stupeni </t>
  </si>
  <si>
    <t>LECHINȚA</t>
  </si>
  <si>
    <t>Rețea nouă de canalizare în localitatea Șieu Odorhei, Dn 250 mm, PVC</t>
  </si>
  <si>
    <t>Soluție individuală de epurare pentru localitatea Coasta</t>
  </si>
  <si>
    <t>Soluție individuală de epurare pentru localitatea Șirioara</t>
  </si>
  <si>
    <t>Soluție individuală de epurare pentru localitatea Agrișu de Sus</t>
  </si>
  <si>
    <t>Soluție individuală de epurare pentru localitatea Agrișu de Jos</t>
  </si>
  <si>
    <t>Cristur - Șieu</t>
  </si>
  <si>
    <t>Rețea nouă de canalizare în localitatea Cristur - Șieu, Dn 250 mm, PVC</t>
  </si>
  <si>
    <t>Breta</t>
  </si>
  <si>
    <t>Soluție individuală de epurare pentru localitatea Bretea</t>
  </si>
  <si>
    <t>Șieuț</t>
  </si>
  <si>
    <t>Șieuț 
+
Rustițor</t>
  </si>
  <si>
    <t>Rețea nouă de canalizare în localitățile Șieuț + Rustișor, Dn 250 mm, PVC</t>
  </si>
  <si>
    <t>Sebiș</t>
  </si>
  <si>
    <t>Rețea nouă de canalizare în localitatea Sebiș, Dn 250 mm, PVC</t>
  </si>
  <si>
    <t>Lunca</t>
  </si>
  <si>
    <t>Rețea nouă de canalizare în localitatea Lunca, Dn 250 mm, PVC</t>
  </si>
  <si>
    <t>Stație nouă de pompare apă potabilă în localitatea Slătinița</t>
  </si>
  <si>
    <t>Extindere rețea de distribuție în zona Budacul - Lempeș, Dn 110 mm, PEHD</t>
  </si>
  <si>
    <t>Înlocuirea echipamentelor cheie M&amp;E la stația de epurare</t>
  </si>
  <si>
    <t>Stație nouă de pompare pe rețeaua de  canalizare în Zona Zăvoaie</t>
  </si>
  <si>
    <t>Stație nouă de pompare pe rețeaua de canalizare în Zona Valea Ghinzii</t>
  </si>
  <si>
    <t>Extindere rețea de canalizare în Zona Valea Ghinzii, Dn 315, PVC</t>
  </si>
  <si>
    <t>Extindere rețea de canalizare în Cartier Valea Ghinzii, Dn 400, PVC</t>
  </si>
  <si>
    <t>Extindere rețea de canalizare în Cartier Unirea, Dn 315 mm, PVC</t>
  </si>
  <si>
    <t>Extindere rețea de canalizare în Cartier Unirea, Dn 250 mm, PVC</t>
  </si>
  <si>
    <t>Stație nouă de pompare pe rețeaua de canalizare în Slătinița</t>
  </si>
  <si>
    <t>Rețea nouă de canalizare pentru Cartier Slătinița, Dn 250 mm, PVC</t>
  </si>
  <si>
    <t>Rețea nouă de canalizare în Localitatea Sărata, Dn 250 mm, PVC</t>
  </si>
  <si>
    <t>Rețea nouă de canalizare în localitatea Budacu de Jos, Dn 250 mm, PVC</t>
  </si>
  <si>
    <t>Rețea nouă de canalizare în localitatea Budus, Dn 250 mm, PVC</t>
  </si>
  <si>
    <t>Rețea nouă de canalizare în localitatea Jelna, Dn 250 mm, PVC</t>
  </si>
  <si>
    <t>Rețea nouă de canalizare în localitatea Monoriu, Dn 250 mm, PVC</t>
  </si>
  <si>
    <t>Conductă nouă de aducțiune pentru localitatea Sângeorzu Nou, Dn 250 mm, PEHD</t>
  </si>
  <si>
    <t>Stație nouă de pompare apă potabilă pentru localitatea Sângeorzu Nou</t>
  </si>
  <si>
    <t>Conductă nouă de refulare apă între stația de pompare și rezervorul de înmagazinare din localitatea Sângeorzu Nou, Dn 90 mm, PEHD</t>
  </si>
  <si>
    <t>Rețea nouă de distribuție în localitatea Sângorzu Nou, Dn 110 mm, PEHD</t>
  </si>
  <si>
    <t>Rețea nouă de distribuție în localitatea Sângorzu Nou, Dn 125 mm, PEHD</t>
  </si>
  <si>
    <t>Rețea nouă de distribuție pentru localitatea Bungard, Dn 110 mm, PEHD</t>
  </si>
  <si>
    <t>Colector nou de transfer din localitatea Vermeș în localitatea Lechința, Dn 315 mm, PVC</t>
  </si>
  <si>
    <t>Stație nouă de pompare pe rețeaua de canalizare din localitatea Vermeș</t>
  </si>
  <si>
    <t>Stație nouă de epurare pentru localitate Țigău, capacitate 500 L.E.</t>
  </si>
  <si>
    <t>Stație nouă de epurare pentru localitate Sângeorzu Nou, capacitate 1000 L.E.</t>
  </si>
  <si>
    <t>Stație nouă de epurare în localitatea Malin, capacitate 400 L.E.</t>
  </si>
  <si>
    <t>Rețea nouă de canalizare  în localitatea Malin, Dn 250 mm, PVC</t>
  </si>
  <si>
    <t>Rețea nouă de distribuție în localitatea Arcalia (se va branșa la rețeaua de distribuție din Sărățel), Dn 110 mm, PEHD</t>
  </si>
  <si>
    <t>Rețea nouă de distribuție în localitatea Valea Magheruș, Dn 110 mm, PEHD</t>
  </si>
  <si>
    <t>Rețea nouă de canalizare  în localitatea Șieu Măgheruș, Dn 250 mm, PVC</t>
  </si>
  <si>
    <t>Rețea nouă de canalizare în localitatea Crainimăt, Dn 250 mm, PVC</t>
  </si>
  <si>
    <t>Rețea nouă de canalizare  în localitatea Arcalia, Dn 250 mm, PVC</t>
  </si>
  <si>
    <t>Rețea nouă de canalizare în localitatea Sărățel, Dn 250 mm, PVC</t>
  </si>
  <si>
    <t>Rețea nouă de canalizare în localitatea Șinetreag, Dn 250 mm, PVC</t>
  </si>
  <si>
    <t>Rețea nouă de canalizare în localitatea Cociu, Dn 250 mm, PVC</t>
  </si>
  <si>
    <t>Soluție individuală de epurare pentru localitatea Șieu - Sfânt</t>
  </si>
  <si>
    <t>Rețea nouă de distribuție în localitatea Archiud, Dn 110 mm, PEHD</t>
  </si>
  <si>
    <t>Rețea nouă de distribuție în localitatea Pinticu, Dn 110 mm, PEHD</t>
  </si>
  <si>
    <t>Rețea nouă de distribuție în localitatea Ocnița, Dn 110 mm, PEHD</t>
  </si>
  <si>
    <t>Colector nou de transfer prin  pompare ape uzate din localitatea Viile Tecii la stația de epurarea din localitatea Teaca, De 90 mm, PEHD</t>
  </si>
  <si>
    <t>Stație nouă de pompare pe rețeaua de canalizare în localitatea Teaca</t>
  </si>
  <si>
    <t>Stație nouă de pompare pe rețeaua de canalizare în localitatea Viile Tecii</t>
  </si>
  <si>
    <t>Rețea nouă de canalizare în localitatea Viile Tecii, DN 250 mm, PVC</t>
  </si>
  <si>
    <t>Stație nouă de epurare pentru localitatea Archiud - capacitate: 650 L.E.</t>
  </si>
  <si>
    <t>Rețea nouă de canalizare în localitatea Archiud, DN 250 mm, PVC</t>
  </si>
  <si>
    <t>Stație nouă de epurare pentru localitatea Pinticu - capacitate: 800 L.E.</t>
  </si>
  <si>
    <t>Rețea nouă de canalizare în loalitatea Pinticu, Dn 250 mm, PVC</t>
  </si>
  <si>
    <t>Stație nouă de epurare pentru localitatea Ocnița - capacitate: 1000 L.E.</t>
  </si>
  <si>
    <t>Rețea nouă de canalizare în loalitatea Ocnița, Dn 250 mm, PVC</t>
  </si>
  <si>
    <t>Rețea nouă de distribuție în zona Beclenuț, Dn 110 mm, PEHD</t>
  </si>
  <si>
    <t>Rețea nouă de distribuție în localitatea Figa, Dn 110 mm, PEHD</t>
  </si>
  <si>
    <t>Rețea nouă de canalizare în localitatea Figa, Dn 250 mm, PVC</t>
  </si>
  <si>
    <t>Rețea nouă de distribuție în localitatea Cireșoaia, Dn 110 mm, PEHD</t>
  </si>
  <si>
    <r>
      <t>Rezervor nou de înmagazinare + stație de clorinare în localitatea Cireșoaia, V = 250 m</t>
    </r>
    <r>
      <rPr>
        <vertAlign val="superscript"/>
        <sz val="11"/>
        <color theme="1"/>
        <rFont val="Calibri"/>
        <family val="2"/>
        <scheme val="minor"/>
      </rPr>
      <t>3</t>
    </r>
  </si>
  <si>
    <t>Stație nouă de epurare - capacitate 1500 L.E pentru localitatea Cireșoaia</t>
  </si>
  <si>
    <t>Stație nouă de pompare apă uzată în localitatea Cireșoaia</t>
  </si>
  <si>
    <t>Rețea nouă de canalizare în localitatea Cireșoaia, Dn 250 mm, PVC</t>
  </si>
  <si>
    <t>Front nou de captare (puț) pentru localitatea Mireș</t>
  </si>
  <si>
    <r>
      <t>Rezervor nou de înmagazinare a apei + stație de clorinare în localitatea Mireș, V = 100 m</t>
    </r>
    <r>
      <rPr>
        <vertAlign val="superscript"/>
        <sz val="11"/>
        <color theme="1"/>
        <rFont val="Calibri"/>
        <family val="2"/>
        <scheme val="minor"/>
      </rPr>
      <t>3</t>
    </r>
  </si>
  <si>
    <t>Front nou de captare (puț) pentru localitatea Hășmașu Ciceului</t>
  </si>
  <si>
    <t>Rețea nouă de distribuție în localitatea Hășmașu Ciceului, Dn 110 mm, PEHD</t>
  </si>
  <si>
    <r>
      <t>Rezervor nou de înmagazinare a apei + stație de clorinare pentru localitatea Hășmașu Ciceului V  = 100 m</t>
    </r>
    <r>
      <rPr>
        <vertAlign val="superscript"/>
        <sz val="11"/>
        <color theme="1"/>
        <rFont val="Calibri"/>
        <family val="2"/>
        <scheme val="minor"/>
      </rPr>
      <t>3</t>
    </r>
  </si>
  <si>
    <t>Captare nouă de izvoare pentru localitatea  Ciceu Corabia</t>
  </si>
  <si>
    <t>Conductă nouă de aducțiune în localitatea Ciceu Corabia, Dn 125 mm, PEHD</t>
  </si>
  <si>
    <t>Rețea nouă de distribuție în localitatea Ciceu Corabia, Dn 110 mm, PEHD</t>
  </si>
  <si>
    <r>
      <t>Rezervor nou de înmagazinare + stație de clorinare în localitatea Ciceu Corăbia, V = 100 m</t>
    </r>
    <r>
      <rPr>
        <vertAlign val="superscript"/>
        <sz val="11"/>
        <color theme="1"/>
        <rFont val="Calibri"/>
        <family val="2"/>
        <scheme val="minor"/>
      </rPr>
      <t>3</t>
    </r>
  </si>
  <si>
    <t>Captare nouă de izvoare pentru localitatea Lelești</t>
  </si>
  <si>
    <t>Conductă nouă de aducțiune în localitatea Lelești, Dn 125 mm, PEHD</t>
  </si>
  <si>
    <t>Rețea nouă de distribuție în localitatea Lelești, Dn 110 mm, PEHD</t>
  </si>
  <si>
    <t>Rezervor nou de înmagazinare + stație de clorinare în localitatea Lelești, V = 100 m3</t>
  </si>
  <si>
    <t>Rețea nouă de canalizare în localitatea Ciceu Mihăești, Dn 250 mm, PVC</t>
  </si>
  <si>
    <t>Stație nouă de pompare apă uzată pe rețeaua de canalizare</t>
  </si>
  <si>
    <t>Rețea nouă de distribuție pentru localitatea Orosfaia, Dn 110 mm, PEHD</t>
  </si>
  <si>
    <t>Rețea nouă de distribuție pentru localitatea Comlod, Dn 110 mm, PEHD</t>
  </si>
  <si>
    <t>Stație nouă de epurare monobloc pentru localitatea Orosfaia, capacitate 400 L.E.</t>
  </si>
  <si>
    <t>Rețea nouă de canalizare în localitatea Orosfaia, Dn 250 mm, PVC</t>
  </si>
  <si>
    <r>
      <t>Rezervor nou de înmagazinare în localitatea Cușma, V = 200 m</t>
    </r>
    <r>
      <rPr>
        <vertAlign val="superscript"/>
        <sz val="11"/>
        <color theme="1"/>
        <rFont val="Calibri"/>
        <family val="2"/>
        <scheme val="minor"/>
      </rPr>
      <t>3</t>
    </r>
  </si>
  <si>
    <t>Canal nou colector de transfer din Dumbrava către canalul colector din Bârgău, Dn 315 mm, PVC</t>
  </si>
  <si>
    <t>Rețea nouă de canalizare în localitatea Dumbrava, Dn 250 mm, PVC</t>
  </si>
  <si>
    <t>Stație nouă de epurare pentru localitatea Cușma - capacitate: 650 L.E.</t>
  </si>
  <si>
    <t>Rețea nouă de canalizare în localitatea Cușma, Dn 250 mm, PVC</t>
  </si>
  <si>
    <t>Rețea nouă de distribuție în localitatea Strîmba, Dn 110 mm, PEHD</t>
  </si>
  <si>
    <r>
      <t>Rezervor nou de înmagazinare  + stație de clorinare,  în localitatea Strîmba, V = 200 m</t>
    </r>
    <r>
      <rPr>
        <vertAlign val="superscript"/>
        <sz val="11"/>
        <color theme="1"/>
        <rFont val="Calibri"/>
        <family val="2"/>
        <scheme val="minor"/>
      </rPr>
      <t>3</t>
    </r>
  </si>
  <si>
    <t>Colector nou de transfer ape uzate din localitatea Strîmba în localitatea Mijlocenii Bârgăului, Dn 315 mm, PVC</t>
  </si>
  <si>
    <t>Rețea nouă de canalizare în localitatea Strîmba, Dn 250 mm, PVC</t>
  </si>
  <si>
    <t>Conductă nouă de aducțiune pentru localitatea Tureac, Dn 125 mm, PEHD</t>
  </si>
  <si>
    <t>Stație nouă de pompare apă potabilă pentru localitatea Tureac</t>
  </si>
  <si>
    <t>Stație nouă de pompare apă potabilă pentru localitatea Mureșenii Bârgăului</t>
  </si>
  <si>
    <t>Rețea nouă de distribuție în localitatea Mureșenii Bârgăului, Dn 125 mm, PEHD</t>
  </si>
  <si>
    <r>
      <t>Rezervor nou de înmagazinare a apei în localitatea Mureșenii Bârgăului, V = 250 m</t>
    </r>
    <r>
      <rPr>
        <vertAlign val="superscript"/>
        <sz val="11"/>
        <color theme="1"/>
        <rFont val="Calibri"/>
        <family val="2"/>
        <scheme val="minor"/>
      </rPr>
      <t>3</t>
    </r>
  </si>
  <si>
    <t>Stații noi de pompare pe rețeaua de canalizare pentru localitatea Mureșenii Bârgăului</t>
  </si>
  <si>
    <t>Stații noi de pompare pe rețeaua de canalizare pentru localitatea Tureac</t>
  </si>
  <si>
    <t>Captare nouă de apă amonte de Rebra</t>
  </si>
  <si>
    <t>Subtraversările râului pentru conducta de aducțiune aferentă noii stații de tratare</t>
  </si>
  <si>
    <t>Rețea nouă de canalizare în cartierul Liviu Rebreanu, Dn 250 mm, PVC</t>
  </si>
  <si>
    <t>Rețea nouă de canalizare în cartierul Lușca, Dn 250 mm, PVC</t>
  </si>
  <si>
    <t>Rețea nouă de distribuție în localitatea Gersa I, Dn 125 mm, PEHD</t>
  </si>
  <si>
    <t>Stație nouă de epurare pentru localitatea Budești, capacitate 650 L.E.</t>
  </si>
  <si>
    <t>Rețea nouă de canalizare în localitatea Budești, Dn 250 mm, PVC</t>
  </si>
  <si>
    <t>Stație nouă de epurare pentru localitatea Tâgu, capacitate 650 L.E.</t>
  </si>
  <si>
    <t>Rețea nouă de canalizare în localitatea Tâgu, Dn 250 mm, PVC</t>
  </si>
  <si>
    <t>Conductă nouă de aducțiune în localitatea Ciceu Poieni, Dn 125 mm, PEHD</t>
  </si>
  <si>
    <t>Stație nouă de pompare apa potabilă pentru alimentarea cu apă a localității Ciceu Poieni amplasată la ieșirea din Dobric</t>
  </si>
  <si>
    <r>
      <t>Rezervor nou de înmagazinarea apei + stație de clorinare în localitatea Ciceu Poieni, V = 200 m</t>
    </r>
    <r>
      <rPr>
        <vertAlign val="superscript"/>
        <sz val="11"/>
        <color theme="1"/>
        <rFont val="Calibri"/>
        <family val="2"/>
        <scheme val="minor"/>
      </rPr>
      <t>3</t>
    </r>
  </si>
  <si>
    <t>Stație nouă de pompare ape uzate în localitatea Căianu Mic</t>
  </si>
  <si>
    <t>Stație nouă de pompare ape uzate în localitatea Căianu Mare</t>
  </si>
  <si>
    <t>Rețea nouă de canalizare în localitatea Căianu Mic, Dn 250 mm, PVC</t>
  </si>
  <si>
    <t>Rețea nouă de canalizare în localitatea Căianu Mare, Dn 250 mm, PVC</t>
  </si>
  <si>
    <t>Rețea nouă de canalizare în localitatea Dobric, Dn 250 mm, PVC</t>
  </si>
  <si>
    <t>Stație nouă de epurare în localitatea Ciceu Poieni, capacitate: 650 L.E.</t>
  </si>
  <si>
    <t>Rețea nouă de canalizare  în localitatea Ciceu Poieni, Dn 250 mm, PVC</t>
  </si>
  <si>
    <t>Reţea nouă de apă potabilă în satul Sannicoara, Dn 110 mm, PEHD</t>
  </si>
  <si>
    <t>Reţea nouă de apă potabilă în satul Tentea, Dn 90 mm, PEHD</t>
  </si>
  <si>
    <r>
      <t>Rezervor nou de înmagazinare a apei + stație de clorinare în  localitatea Sânticora și Țentea, V = 100 m</t>
    </r>
    <r>
      <rPr>
        <vertAlign val="superscript"/>
        <sz val="11"/>
        <color theme="1"/>
        <rFont val="Calibri"/>
        <family val="2"/>
        <scheme val="minor"/>
      </rPr>
      <t>3</t>
    </r>
  </si>
  <si>
    <t>Captare nouă puț forat în localitatea jimbor pentru alimentarea cu apă a satelor Jimbor, Buza Cătun și Manic</t>
  </si>
  <si>
    <t>Reţea nouă de apă potabilă în satul Buza Catun, Dn 110 mm, PEHD</t>
  </si>
  <si>
    <t>Reţea nouă de apă potabilă în satul Jimbor, Dn 100 mm, PEHD</t>
  </si>
  <si>
    <t>Reţea nouă de apă potabilă în satul Manic, Dn 110 mm, PEHD</t>
  </si>
  <si>
    <t>Conductă nouă de aducțiune pentru alimentarea satelor Bozieș și Chețiu din localitatea Beudiu, Dn 125 mm, PEHD</t>
  </si>
  <si>
    <t>Stație nouă de pompare apă potabilă pentru localitatea Chețiu</t>
  </si>
  <si>
    <t>Reţea nouă de apă potabilă în satul Bozieş, Dn 110 mm, PEHD</t>
  </si>
  <si>
    <t>Reţea nouă de apă potabilă în satul Chețiu, Dn 110 mm, PEHD</t>
  </si>
  <si>
    <r>
      <t>Rezervor nou de înmagazinare a apei + stație de clorinare pentru localitățile Chețiu + Bozieș, V = 200 m</t>
    </r>
    <r>
      <rPr>
        <vertAlign val="superscript"/>
        <sz val="11"/>
        <color theme="1"/>
        <rFont val="Calibri"/>
        <family val="2"/>
        <scheme val="minor"/>
      </rPr>
      <t>3</t>
    </r>
  </si>
  <si>
    <t>Conductă nouă de aducțiune pentru alimentarea a satului Apatiu din rezervorul din localitatea Chețiu, Dn 125 mm, PEHD</t>
  </si>
  <si>
    <t>Reţea nouă de apă potabilă în satul Apatiu, Dn 110 mm, PEHD</t>
  </si>
  <si>
    <t>Stație nouă de epurare - capacitate 1000 L.E. Pentru localitățile Bozieș și Chețiu</t>
  </si>
  <si>
    <t>Reţea nouă de apă canalizare  în satul Bozieş, Dn 250 mm, PVC</t>
  </si>
  <si>
    <t>Reţea nouă de apă canalizare  în satul Chețiu, Dn 250 mm, PVC</t>
  </si>
  <si>
    <t>Stație nouă de epurare pentru localitatea Chiochiș - capacitate - 400 L.E.</t>
  </si>
  <si>
    <t>Reţea nouă de apă canalizare în satul Chiochiș, Dn 250 mm, PVC</t>
  </si>
  <si>
    <t>Conductă nouă de aducțiune de la Ciceu Giurgești spre localitatea Dumbrăveni, Dn 125 mm, PEHD</t>
  </si>
  <si>
    <t>Rețea nouă de canalizare în localitatea Ciceu - Giurgești, DN 250 mm, PVC</t>
  </si>
  <si>
    <t>Stație nouă de epurare în localitatea Dumbrăveni - capacitate 650 L.E.</t>
  </si>
  <si>
    <t>Captare nouă de râu pentru localitatea Lunca Leșului</t>
  </si>
  <si>
    <t>Conductă nouă de aducțiune în localitatea Lunca Leșului, Dn 125 mm, PEHD</t>
  </si>
  <si>
    <t>Stație nouă de pompare apă potabilă în localitatea Lunca Leșului</t>
  </si>
  <si>
    <t>Rețea nouă de distribuție în localitatea Lunca Leșului, Dn 125 mm</t>
  </si>
  <si>
    <t>Rețea nouă de canalizare în localitatea Lunca Leșului, Dn 250 mm, PVC</t>
  </si>
  <si>
    <t>Conductă nouă de refulare apă potabilă pentru localitatea Moruț, Dn 110, PEHD</t>
  </si>
  <si>
    <t>Conductă nouă principală de apă pentru localitatea Moruț, Dn 125 mm, PEHD</t>
  </si>
  <si>
    <t>Stație nouă de pompare comună pentru localitățile Moruț și Fîntînele</t>
  </si>
  <si>
    <t>Rețea nouă de distribuție în localitatea Moruț, Dn 110 mm, PEHD</t>
  </si>
  <si>
    <t>Conductă nouă de refulare apă potabilă pentru localitatea Fîntînele, Dn 125, PEHD</t>
  </si>
  <si>
    <t>Conductă nouă principală de apă pentru localitatea Fîntînele, Dn 125 mm, PEHD</t>
  </si>
  <si>
    <t>Rețea nouă de distribuție în localitatea Fîntînele, Dn 125 mm, PEHD</t>
  </si>
  <si>
    <r>
      <t>Rezervor nou de înmagazinare apă potabilă + stație de clorinare pentru localitatea Fîntînele, V = 200 m</t>
    </r>
    <r>
      <rPr>
        <vertAlign val="superscript"/>
        <sz val="11"/>
        <color theme="1"/>
        <rFont val="Calibri"/>
        <family val="2"/>
        <scheme val="minor"/>
      </rPr>
      <t>3</t>
    </r>
  </si>
  <si>
    <t>Stație nouă de pompare apă potabilă pentru localitatea Bidiu</t>
  </si>
  <si>
    <t>Rețea nouă de distribuție în localitatea Enciu, Dn 110 mm, PEHD</t>
  </si>
  <si>
    <t>Rețea nouă de distribuție în localitatea Bidiu, Dn 110 mm, PEHD</t>
  </si>
  <si>
    <r>
      <t>Rezervor nou de înmagazinare apă potabilă + stație de clorinare pentru localitatea Bidiu și Enciu, V = 200 m</t>
    </r>
    <r>
      <rPr>
        <vertAlign val="superscript"/>
        <sz val="11"/>
        <color theme="1"/>
        <rFont val="Calibri"/>
        <family val="2"/>
        <scheme val="minor"/>
      </rPr>
      <t>3</t>
    </r>
  </si>
  <si>
    <t>Stație nouă de epurare pentru localitatea Matei, capacitate - 650 L.E.</t>
  </si>
  <si>
    <t>Rețea nouă de canalizare în localitatea Matei, Dn 250 mm, PVC</t>
  </si>
  <si>
    <t>Stație nouă de epurare pentru localitatea Corvinești, capacitate - 650 L.E.</t>
  </si>
  <si>
    <t>Rețea nouă de canalizare în localitatea Corvinești, Dn 250 mm, PVC</t>
  </si>
  <si>
    <t>Stație nouă de epurare pentru localitatea Fântânele, capacitate - 650 L.E.</t>
  </si>
  <si>
    <t>Rețea nouă de canalizare în localitatea Fântânele, Dn 250 mm, PVC</t>
  </si>
  <si>
    <t>Stație nouă de epurare pentru localitățile Bidiu și Enciu, capacitate - 500 L.E.</t>
  </si>
  <si>
    <t>Rețea nouă de canalizare în localitățile Bidiu și Enciu, Dn 250 mm, PVC</t>
  </si>
  <si>
    <t>Conductă nouă de aducțiune din localitatea Domnești în localitățile Măgurele și Marișelu, Dn 200 mm, PEHD</t>
  </si>
  <si>
    <t>Stație nouă de pompare apă potabilă localitățile Măgurele și Marișelu</t>
  </si>
  <si>
    <t>Rețea nouă de distribuție în localitatea Măgurele, Dn 125 mm, PEHD</t>
  </si>
  <si>
    <t>Rețea nouă de distribuție în localitatea Mărișelu, Dn 125 mm, PEHD</t>
  </si>
  <si>
    <t>Stație nouă de pompare apă potabilă localitatea Domnești</t>
  </si>
  <si>
    <t>Rețea nouă de distribuție în localitatea Domnești, Dn 125 mm, PEHD</t>
  </si>
  <si>
    <t>Conductă nouă de aducțiune de la Sărata - Marișelu în localitățile Bârla și Sântioana, Dn 200 mm, PEHD</t>
  </si>
  <si>
    <t>Stație nouă de pompare apă potabilă localitățile Bârla și Sântioana</t>
  </si>
  <si>
    <t>Rețea nouă de distribuție în localitatea Bârla, Dn 125 mm, PEHD</t>
  </si>
  <si>
    <t>Rețea nouă de distribuție în localitatea Sântioana, Dn 125 mm, PEHD</t>
  </si>
  <si>
    <r>
      <t>Rezervor nou de înmagazinare apă potabilă + stație de clorinare în localitatea Sântioana, V = 200 m</t>
    </r>
    <r>
      <rPr>
        <vertAlign val="superscript"/>
        <sz val="11"/>
        <color theme="1"/>
        <rFont val="Calibri"/>
        <family val="2"/>
        <scheme val="minor"/>
      </rPr>
      <t>3</t>
    </r>
  </si>
  <si>
    <t>Front nou de captare (puț) pentru localitatea Jeica</t>
  </si>
  <si>
    <t>Conductă nouă de aducțiune în localitatea Jeica, Dn 125 mm, PEHD</t>
  </si>
  <si>
    <t>Rețea nouă de distribuție în localitatea Jeica, Dn 110 mm, PEHD</t>
  </si>
  <si>
    <r>
      <t>Rezervor nou de înmagazinare apă potabilă + stație de clorinare în localitatea Jeica, V = 50 m</t>
    </r>
    <r>
      <rPr>
        <vertAlign val="superscript"/>
        <sz val="11"/>
        <color theme="1"/>
        <rFont val="Calibri"/>
        <family val="2"/>
        <scheme val="minor"/>
      </rPr>
      <t>3</t>
    </r>
  </si>
  <si>
    <t>Stație nouă de epurare pentru localitatea Vișuia - capacitate 500 L.E.</t>
  </si>
  <si>
    <t>Rețea nouă de canalizare în localitatea Vișuia, Dn 250 mm, PVC</t>
  </si>
  <si>
    <t>Stație nouă de epurare pentru localitatea Fântânița - capacitate 400 L.E.</t>
  </si>
  <si>
    <t>Rețea nouă de canalizare în localitatea Fântânița, Dn 250 mm, PVC</t>
  </si>
  <si>
    <t>Rețea nouă de canalizare în localitatea Breaza, Dn 250 mm, PVC</t>
  </si>
  <si>
    <t>Rețea nouă de canalizare în localitatea Breaza, Dn 315 mm, PVC</t>
  </si>
  <si>
    <t>Rețea nouă de canalizare în localitatea Negrilești, Dn 250 mm, PVC</t>
  </si>
  <si>
    <t>Rețea nouă de canalizare în localitatea Negrilești, Dn 315 mm, PVC</t>
  </si>
  <si>
    <t>Conductă nouă de refulare din localitatea Nimigea de Sus în localitatea Mititei, Dn 90, PEHD</t>
  </si>
  <si>
    <t>Stație nouă de pompare apă potabilă pentru alimentare cu apă a localității Mititei</t>
  </si>
  <si>
    <r>
      <t>Rezervor nou de înmagazinare + stație de clorinare în localitatea Mititei, V = 200 m</t>
    </r>
    <r>
      <rPr>
        <vertAlign val="superscript"/>
        <sz val="11"/>
        <color theme="1"/>
        <rFont val="Calibri"/>
        <family val="2"/>
        <scheme val="minor"/>
      </rPr>
      <t>3</t>
    </r>
  </si>
  <si>
    <t>Rețea nouă de canalizare în localitatea Nimigea de Jos, Dn 315 mm, PVC</t>
  </si>
  <si>
    <t>Rețea nouă de canalizare în localitatea Mocod, Dn 250 mm, PVC</t>
  </si>
  <si>
    <t>Rețea nouă de canalizare în localitatea Mititei, Dn 250 mm, PVC</t>
  </si>
  <si>
    <t>Rețea nouă de canalizare în localitatea Florești, Dn 250 mm, PVC</t>
  </si>
  <si>
    <t>Stație nouă de epurare în localitatea Nimigea de Sus - capacitate: 500 L.E.</t>
  </si>
  <si>
    <t>Rețea nouă de canalizare în localitatea Nimigea de Sus, Dn 250 mm, PVC</t>
  </si>
  <si>
    <t>Stație nouă de epurare compactă în localiatea Taure - capacitate: 500 L.E.</t>
  </si>
  <si>
    <t>Rețea nouă de canalizare în localitatea Taure, Dn 250 mm, PVC</t>
  </si>
  <si>
    <t>Stație nouă de epurare în localiatea Mintiu - capacitate: 400 L.E.</t>
  </si>
  <si>
    <t>Rețea nouă de canalizare în localitatea Mintiu, Dn 250 mm, PVC</t>
  </si>
  <si>
    <t>Stație nouă de pompare apă potabilă</t>
  </si>
  <si>
    <t>Stație nouă de epurare pentru localitatea Poiana Ilvei - capacitate 1500 L.E.</t>
  </si>
  <si>
    <t>Rețea nouă de canalizare în localitatea Poiana Ilvei, Dn 250 mm, PVC</t>
  </si>
  <si>
    <t>Stație de epurare nouă în localitatea Runcu Salvei - capacitate 1300 L.E.</t>
  </si>
  <si>
    <t>Stație nouă de epurare în localitatea Sânmihai de Câmpie - capacitate 650 L.E.</t>
  </si>
  <si>
    <t>Rețea nouă de canalizare în localitatea Sânmihaiu de Câmpie, Dn 250 mm, PVC</t>
  </si>
  <si>
    <t>Stație nouă de epurare în localitatea Zornei - capacitate 400 L.E.</t>
  </si>
  <si>
    <t>Rețea nouă de canalizare în localitatea Zoreni, Dn 250 mm, PVC</t>
  </si>
  <si>
    <t>Captare nouă de izvoare pentru localitățile Spermezeu, Dobricel, Lucna Borlese, Păltineasa și Sita</t>
  </si>
  <si>
    <t>Stație nouă de tratare pentru localitatile Spermezeu, Dobricel, Lunca Borlesei și Sita a amplasată în localitatea Sita</t>
  </si>
  <si>
    <t>Conductă nouă de aducțiune pentru localitatea Spermezeu, Dn 125 mm, PEHD</t>
  </si>
  <si>
    <t>Conductă nouă de aducțiune  pentru localitatea Dobricel, Dn 125 mm, PEHD</t>
  </si>
  <si>
    <t>Conductă nouă de aducțiune  pentru localitatea Sita, Dn 125 mm, PEHD</t>
  </si>
  <si>
    <t>Rețea nouă de distribuție în localitatea Spermezeu, Dn 125 mm, PEHD</t>
  </si>
  <si>
    <t>Rețea nouă de distribuție în localitatea Dobricel, Dn 110 mm, PEHD</t>
  </si>
  <si>
    <t>Rețea nouă de distribuție în localitatea Sita, Dn 110 mm, PEHD</t>
  </si>
  <si>
    <t>Rețea nouă de distribuție în localitatea Păltineasa, Dn 110 mm, PEHD</t>
  </si>
  <si>
    <t>Rețea nouă de distribuție în localitatea Lunca Borlesei, Dn 110 mm, PEHD</t>
  </si>
  <si>
    <t>Rețea nouă de distribuție în localitatea Dumbravița, Dn 125 mm, PEHD</t>
  </si>
  <si>
    <r>
      <t>Rezervor nou de înmagazinare apă + stație de clorinare în localitatea Dumbrăvița, V = 200 m</t>
    </r>
    <r>
      <rPr>
        <vertAlign val="superscript"/>
        <sz val="11"/>
        <color theme="1"/>
        <rFont val="Calibri"/>
        <family val="2"/>
        <scheme val="minor"/>
      </rPr>
      <t>3</t>
    </r>
  </si>
  <si>
    <t>Rețea nouă de distribuție în localitatea Șesuri Spermezeu Vale, Dn 110 mm, PEHD</t>
  </si>
  <si>
    <r>
      <t>Rezervor nou de înmagazinare apă + stație de clorinare în localitatea Șesuri Spermezeu, V = 50 m</t>
    </r>
    <r>
      <rPr>
        <vertAlign val="superscript"/>
        <sz val="11"/>
        <color theme="1"/>
        <rFont val="Calibri"/>
        <family val="2"/>
        <scheme val="minor"/>
      </rPr>
      <t>3</t>
    </r>
  </si>
  <si>
    <t>Rețea nouă de canalizare în localitatea Spermezeu, Dn 315 mm, PVC</t>
  </si>
  <si>
    <t>Rețea nouă de canalizare în localitatea Sita, Dn 250 mm, PVC</t>
  </si>
  <si>
    <t>Stație nouă de epurare pentru localitatea Dobricel - capacitate 500 L.E.</t>
  </si>
  <si>
    <t>Rețea nouă de canalizare în localitatea Dobricel, Dn 250 mm, PVC</t>
  </si>
  <si>
    <t>Front nou de captare (puț) pentru localitatea Șoimuș</t>
  </si>
  <si>
    <t>Rețea nouă de distribuție pentru localitatea Șoimuș, DN 110 mm, PEHD</t>
  </si>
  <si>
    <t>Conductă nouă de aducțiune pentru localitatea Ardand, Dn 160 mm, PEHD</t>
  </si>
  <si>
    <t>Rețea nouă de distribuție în localitatea Ardan, Dn 110 mm, PEHD</t>
  </si>
  <si>
    <t>Conductă nouă de aducțiune pentru localitatea Posmuș, Dn 160 mm, PEHD</t>
  </si>
  <si>
    <t>Rețea nouă de distribuție în localitatea Posmuș, Dn 110 mm, PEHD</t>
  </si>
  <si>
    <t>Canal nou colector de transfer din localitatea Ardan la SE, Dn 250 mm, PVC</t>
  </si>
  <si>
    <t>Canal nou colector de transfer din localitatea Posmuș la SE, Dn 250 mm, PVC</t>
  </si>
  <si>
    <t>Stație nouă de pompare pe rețeaua de canalizare pentru localitatea Posmuș</t>
  </si>
  <si>
    <t>Rețea nouă de canalizare în localitatea Ardan, Dn 250 mm, PVC</t>
  </si>
  <si>
    <t>Rețea nouă de canalizare în localitatea Posmuș, Dn 250 mm, PVC</t>
  </si>
  <si>
    <t>Stație nouă de epurare pentru localitatea Cristur- Șieu - capacitate 500 L.E.</t>
  </si>
  <si>
    <t>Stație nouă de epurare pentru localitățile Șieuț + Rustișor - capacitate 1500 L.E.</t>
  </si>
  <si>
    <t>Colector nou principal de canalizare în localitățile Șieuț + Rustișor, Dn 315 mm, PVC</t>
  </si>
  <si>
    <t>Stație nouă de epurare pentru localitatea Sebiș  - capacitate 830 L.E.</t>
  </si>
  <si>
    <t>Stație nouă de epurare pentru localitatea Lunca - capacitate 400 L.E.</t>
  </si>
  <si>
    <t>Front nou de captare (puț) pentru localitatea Alunișul</t>
  </si>
  <si>
    <t>Conductă nouă de aducțiune pentru localitatea Alunișul, Dn 125 mm, PEHD</t>
  </si>
  <si>
    <t>Rețea nouă de distribuție în localitatea Alunișul, Dn 110 mm, PEHD</t>
  </si>
  <si>
    <t>Rețea nouă de canalizare în localitatea Zagra, Dn 250 mm, PVC</t>
  </si>
  <si>
    <t>Rețea nouă de canalizare în localitatea Poienile Zagrei, Dn 250 mm, PVC</t>
  </si>
  <si>
    <t>Stație nouă de epurare pentru localitatea Suplai  - capacitate 600 L.E.</t>
  </si>
  <si>
    <t>Rețea nouă de canalizare în localitatea Suplai, Dn 250 mm, PVC</t>
  </si>
  <si>
    <t>22.1</t>
  </si>
  <si>
    <t>22.2</t>
  </si>
  <si>
    <t>23.1</t>
  </si>
  <si>
    <t>23.2</t>
  </si>
  <si>
    <t>24.1</t>
  </si>
  <si>
    <t>24.2</t>
  </si>
  <si>
    <t>25.1</t>
  </si>
  <si>
    <t>25.2</t>
  </si>
  <si>
    <t>26.1</t>
  </si>
  <si>
    <t>26.2</t>
  </si>
  <si>
    <t>27.1</t>
  </si>
  <si>
    <t>27.2</t>
  </si>
  <si>
    <t>28.1</t>
  </si>
  <si>
    <t>28.2</t>
  </si>
  <si>
    <t>29.1</t>
  </si>
  <si>
    <t>29.2</t>
  </si>
  <si>
    <t>30.1</t>
  </si>
  <si>
    <t>30.2</t>
  </si>
  <si>
    <t>31.1</t>
  </si>
  <si>
    <t>31.2</t>
  </si>
  <si>
    <t>32.1</t>
  </si>
  <si>
    <t>32.2</t>
  </si>
  <si>
    <t>34.1</t>
  </si>
  <si>
    <t>34.2</t>
  </si>
  <si>
    <t>35.1</t>
  </si>
  <si>
    <t>35.2</t>
  </si>
  <si>
    <t>36.1</t>
  </si>
  <si>
    <t>36.2</t>
  </si>
  <si>
    <t>37.1</t>
  </si>
  <si>
    <t>38.1</t>
  </si>
  <si>
    <t>38.2</t>
  </si>
  <si>
    <t>39</t>
  </si>
  <si>
    <t>39.1</t>
  </si>
  <si>
    <t>39.2</t>
  </si>
  <si>
    <t>40</t>
  </si>
  <si>
    <t>40.1</t>
  </si>
  <si>
    <t>40.2</t>
  </si>
  <si>
    <t>41</t>
  </si>
  <si>
    <t>41.1</t>
  </si>
  <si>
    <t>41.2</t>
  </si>
  <si>
    <t>42</t>
  </si>
  <si>
    <t>42.1</t>
  </si>
  <si>
    <t>42.2</t>
  </si>
  <si>
    <t>43</t>
  </si>
  <si>
    <t>43.1</t>
  </si>
  <si>
    <t>43.2</t>
  </si>
  <si>
    <t>44</t>
  </si>
  <si>
    <t>44.1</t>
  </si>
  <si>
    <t>44.2</t>
  </si>
  <si>
    <t>45</t>
  </si>
  <si>
    <t>45.1</t>
  </si>
  <si>
    <t>45.2</t>
  </si>
  <si>
    <t>46</t>
  </si>
  <si>
    <t>46.2</t>
  </si>
  <si>
    <t>46.1</t>
  </si>
  <si>
    <t>49</t>
  </si>
  <si>
    <t>49.1</t>
  </si>
  <si>
    <t>49.2</t>
  </si>
  <si>
    <t>50</t>
  </si>
  <si>
    <t>50.1</t>
  </si>
  <si>
    <t>50.2</t>
  </si>
  <si>
    <t>52</t>
  </si>
  <si>
    <t>52.1</t>
  </si>
  <si>
    <t>52.2</t>
  </si>
  <si>
    <t>54</t>
  </si>
  <si>
    <t>54.1</t>
  </si>
  <si>
    <t>54.2</t>
  </si>
  <si>
    <t xml:space="preserve">2.8 </t>
  </si>
  <si>
    <t>Budacu de Jos
( € )</t>
  </si>
  <si>
    <t>Cetate
( € )</t>
  </si>
  <si>
    <t>Galații Bistriței          ( € )</t>
  </si>
  <si>
    <t>Nușeni
( € )</t>
  </si>
  <si>
    <t>Lechința
( € )</t>
  </si>
  <si>
    <t>Șieu Măgheruș          ( € )</t>
  </si>
  <si>
    <t>Șintereag
 ( € )</t>
  </si>
  <si>
    <t>Planul de investiții pe termen lung</t>
  </si>
  <si>
    <t>După 2020</t>
  </si>
  <si>
    <t>Stație de clorinare</t>
  </si>
  <si>
    <t>Nouă</t>
  </si>
  <si>
    <t xml:space="preserve">Stație de pompare </t>
  </si>
  <si>
    <t>Pt debite mici-sate, localități mici</t>
  </si>
  <si>
    <t>Pt debite mari</t>
  </si>
  <si>
    <t>Puț</t>
  </si>
  <si>
    <t>Bazine vidanjabile (soluție individuală de epurare)</t>
  </si>
  <si>
    <t>Captare izvoare</t>
  </si>
  <si>
    <t xml:space="preserve">Vidanja </t>
  </si>
  <si>
    <t xml:space="preserve">Branșamente </t>
  </si>
  <si>
    <t>Rezervoare 
(Prețuri ofertă)</t>
  </si>
  <si>
    <t>Preț fără tva</t>
  </si>
  <si>
    <t>Preț ajustat fără tva</t>
  </si>
  <si>
    <t>Preț total</t>
  </si>
  <si>
    <t>Preț total rotunjit</t>
  </si>
  <si>
    <r>
      <t>m</t>
    </r>
    <r>
      <rPr>
        <b/>
        <vertAlign val="superscript"/>
        <sz val="11"/>
        <color theme="1"/>
        <rFont val="Calibri"/>
        <family val="2"/>
        <scheme val="minor"/>
      </rPr>
      <t>3</t>
    </r>
  </si>
  <si>
    <t>Diametru (mm)</t>
  </si>
  <si>
    <t>Conducte pentru apă</t>
  </si>
  <si>
    <t>Conducte canalizare</t>
  </si>
  <si>
    <t>Extindere (euro/ml)</t>
  </si>
  <si>
    <t>Reabilitare (euro/ml)</t>
  </si>
  <si>
    <t>Reabilitare (preț ajustat) (euro/ml)</t>
  </si>
  <si>
    <t>(mm)</t>
  </si>
  <si>
    <t>Extindere</t>
  </si>
  <si>
    <t>(euro/ml)</t>
  </si>
  <si>
    <t>Reabilitare</t>
  </si>
  <si>
    <t>(Euro/ml)</t>
  </si>
  <si>
    <t>Reabilitare (preț ajustat)</t>
  </si>
  <si>
    <t>Stații de epurare</t>
  </si>
  <si>
    <t>Preț</t>
  </si>
  <si>
    <t>(euro)</t>
  </si>
  <si>
    <t>(L.E.)</t>
  </si>
  <si>
    <t>Stație nouă de pompare pe rețeaua de canalizare Valea Jelnei</t>
  </si>
  <si>
    <t>Stație nouă de pompare apă uzată în zona Viișoara</t>
  </si>
  <si>
    <t>Toate costurile sunt exprimate în prețuri curente, în EURO, anul de baza - 2013</t>
  </si>
  <si>
    <t>Toate costurile sunt exprimate în prețuri curente, în EUR, anul de baza - 2013</t>
  </si>
  <si>
    <t xml:space="preserve">Sursa de finanțare </t>
  </si>
  <si>
    <t>Stație tratare apa</t>
  </si>
  <si>
    <t>Stație pompare</t>
  </si>
  <si>
    <t>Rețea distribuție</t>
  </si>
  <si>
    <t>Mașini și echipam.</t>
  </si>
  <si>
    <t>Rețea nouă de distribuție în localitatea Tureac, Dn 125 mm, PEHD</t>
  </si>
  <si>
    <t>Stație de repompare SRP</t>
  </si>
  <si>
    <r>
      <t>Rezervor de înmagazinare a apei pentru Comuna Budești, V = 550 m</t>
    </r>
    <r>
      <rPr>
        <vertAlign val="superscript"/>
        <sz val="11"/>
        <color theme="1"/>
        <rFont val="Calibri"/>
        <family val="2"/>
        <scheme val="minor"/>
      </rPr>
      <t xml:space="preserve">3 </t>
    </r>
    <r>
      <rPr>
        <sz val="11"/>
        <color theme="1"/>
        <rFont val="Calibri"/>
        <family val="2"/>
        <scheme val="minor"/>
      </rPr>
      <t>+ stație de clorinare</t>
    </r>
  </si>
  <si>
    <t>Moruț  + Fântânele + Enciu + Bidiu</t>
  </si>
  <si>
    <t>Miceștii de Câmpie 
+ 
Vișuia
+ 
Fântânița</t>
  </si>
  <si>
    <t>Stație de repompare apă potabilă pentru Comuna Miceștii de Câmpie</t>
  </si>
  <si>
    <t>Rețea nouă de apă potabilă pentru Comuna Miceștii de Câmpie, Dn 63 mm, PEHD</t>
  </si>
  <si>
    <t>Rețea nouă de apă potabilă pentru Comuna Miceștii de Câmpie, Dn 75 mm, PEHD</t>
  </si>
  <si>
    <t>Rețea nouă de apă potabilă pentru Comuna Miceștii de Câmpie, Dn 90 mm, PEHD</t>
  </si>
  <si>
    <t>Rețea nouă de apă potabilă pentru Comuna Miceștii de Câmpie, Dn 110 mm, PEHD</t>
  </si>
  <si>
    <t>Rețea nouă de apă potabilă pentru Comuna Miceștii de Câmpie, Dn 125 mm, PEHD</t>
  </si>
  <si>
    <t>Sânmihaiu de Câmpie
+
Zoreni
+
La Curte
+
Stupeni</t>
  </si>
  <si>
    <t>Conductă de aducțiune nouă pentru Comuna Sânmihaiu de Câmpie, Dn 250 mm, PEHD</t>
  </si>
  <si>
    <t>Stație de repompare apă potabilă pentru Comuna Sânmihaiu de Câmpie</t>
  </si>
  <si>
    <t>Rețea nouă de distribuție pentru Comuna Sânmihaiu de Câmpie, Dn 63 mm, PEHD</t>
  </si>
  <si>
    <t>Rețea nouă de distribuție pentru Comuna Sânmihaiu de Câmpie, Dn 75 mm, PEHD</t>
  </si>
  <si>
    <t>Rețea nouă de distribuție pentru Comuna Sânmihaiu de Câmpie, Dn 90 mm, PEHD</t>
  </si>
  <si>
    <t>Rețea nouă de distribuție pentru Comuna Sânmihaiu de Câmpie, Dn 110 mm, PEHD</t>
  </si>
  <si>
    <t>Rețea nouă de distribuție pentru Comuna Sânmihaiu de Câmpie, Dn 125 mm, PEHD</t>
  </si>
  <si>
    <t>Rețea nouă de distribuție pentru Comuna Sânmihaiu de Câmpie, Dn 160 mm, PEHD</t>
  </si>
  <si>
    <r>
      <t>Rezervor nou de înmagazinare + stație de clorinare pentru comuna Sânmihaiu de Câmpie, V = 400 m</t>
    </r>
    <r>
      <rPr>
        <vertAlign val="superscript"/>
        <sz val="11"/>
        <color theme="1"/>
        <rFont val="Calibri"/>
        <family val="2"/>
        <scheme val="minor"/>
      </rPr>
      <t>3</t>
    </r>
  </si>
  <si>
    <t>Rețea nouă de distribuție în localitatea Ocnița, Dn 63 mm, PEHD</t>
  </si>
  <si>
    <t>Rețea nouă de distribuție în localitatea Ocnița, Dn 75 mm, PEHD</t>
  </si>
  <si>
    <t>Rețea nouă de distribuție în localitatea Ocnița, Dn 90 mm, PEHD</t>
  </si>
  <si>
    <t>Aducțiune Viile Tecii - Stație de repompare Budurleni, De 140 mm, PEHD</t>
  </si>
  <si>
    <t>Aducțiune Stație de repompare Budurleni - Gospodărie de apă Archiud, Dn 125 mm, PEHD</t>
  </si>
  <si>
    <t>Stație de repompare Budurleni</t>
  </si>
  <si>
    <r>
      <t>Rezervor nou de înmagazinare a apei + stație de clorinare pentru localitatea Archiud, V = 500 m</t>
    </r>
    <r>
      <rPr>
        <vertAlign val="superscript"/>
        <sz val="11"/>
        <color theme="1"/>
        <rFont val="Calibri"/>
        <family val="2"/>
        <scheme val="minor"/>
      </rPr>
      <t>3</t>
    </r>
  </si>
  <si>
    <t>Rețea nouă de distribuție în localitatea Archiud, Dn 63 mm, PEHD</t>
  </si>
  <si>
    <t>Rețea nouă de distribuție în localitatea Archiud, Dn 75 mm, PEHD</t>
  </si>
  <si>
    <t>Rețea nouă de distribuție în localitatea Archiud, Dn 90 mm, PEHD</t>
  </si>
  <si>
    <t>Conductă de aducțiune pentru Budurleni, Dn 75 mm, PEHD</t>
  </si>
  <si>
    <r>
      <t>Rezervor nou de înmagazinare a apei + stație de clorinare pentru localitatea Budurleni, V = 50 m</t>
    </r>
    <r>
      <rPr>
        <vertAlign val="superscript"/>
        <sz val="11"/>
        <color theme="1"/>
        <rFont val="Calibri"/>
        <family val="2"/>
        <scheme val="minor"/>
      </rPr>
      <t>3</t>
    </r>
  </si>
  <si>
    <t>Stație de Tratare</t>
  </si>
  <si>
    <t>Rețea nouă de distribuție în localitatea Budureni, Dn 63 mm, PEHD</t>
  </si>
  <si>
    <t>Rețea nouă de distribuție în localitatea Budureni, Dn 75 mm, PEHD</t>
  </si>
  <si>
    <t>Rețea nouă de distribuție în localitatea Budureni, Dn 90 mm, PEHD</t>
  </si>
  <si>
    <t>Rețea nouă de distribuție în localitatea Pinticu, Dn 63 mm, PEHD</t>
  </si>
  <si>
    <t>Rețea nouă de distribuție în localitatea Pinticu, Dn 75 mm, PEHD</t>
  </si>
  <si>
    <t>Rețea nouă de distribuție în localitatea Pinticu, Dn 90 mm, PEHD</t>
  </si>
  <si>
    <t>Extinderea rețelei de distribuție în Orașul Bistrița</t>
  </si>
  <si>
    <t>Reabilitarea rețelei de distribuție pentru reducerea pierderilor din orașul Bistrița</t>
  </si>
  <si>
    <t>Reabilitarea bazinelor de nămol</t>
  </si>
  <si>
    <t>Înlocuirea suflantelor</t>
  </si>
  <si>
    <t>Extindere rețea de canalizare în Zona Dr. Dumitrei Nou, Dn 250 mm, PVC</t>
  </si>
  <si>
    <t>Reabilitarea conductelor de canalizare din beton din orașul Bistrița</t>
  </si>
  <si>
    <t>Stație de epurare pentru Zona Sărata - capacitate 1000 L.E.</t>
  </si>
  <si>
    <t>Reabilitarea și extinderea clădirii de întreținere și mentenanță rețele apă - canal</t>
  </si>
  <si>
    <t>Stație de pompare pentru localitatea Dumbrava</t>
  </si>
  <si>
    <t>Rețea nouă de distribuție în localitatea Dumbrava, Dn 63 mm, PEHD</t>
  </si>
  <si>
    <r>
      <t>Rezervor nou de înmagazinare în localitatea Dumbrava, V = 50 m</t>
    </r>
    <r>
      <rPr>
        <vertAlign val="superscript"/>
        <sz val="11"/>
        <color theme="1"/>
        <rFont val="Calibri"/>
        <family val="2"/>
        <scheme val="minor"/>
      </rPr>
      <t>3</t>
    </r>
  </si>
  <si>
    <t>Captare</t>
  </si>
  <si>
    <t>Captare de izvoare pentru localitatea Cușma</t>
  </si>
  <si>
    <t xml:space="preserve">
Dumbrava</t>
  </si>
  <si>
    <t>Conductă nouă de aducțiune a apei brute, Dn 325 mm, PEHD</t>
  </si>
  <si>
    <t>Captare apă de suprafață (dren) pentru Orașul Sângeorz - Băi + modernizare stație de tratare</t>
  </si>
  <si>
    <t>Conductă nouă de aducțiune din localitatea Archiud pentru localitățile Orosfaia + Comlod, De 140 mm, PEHD</t>
  </si>
  <si>
    <t>Conductă nouă de aducțiune din localitatea Archiud pentru localitățile Orosfaia + Comlod, De 250 mm, PEHD</t>
  </si>
  <si>
    <t>Rețea nouă de distribuție pentru localitatea Comlod, Dn 63 mm, PEHD</t>
  </si>
  <si>
    <t>Rețea nouă de distribuție pentru localitatea Comlod, Dn 75 mm, PEHD</t>
  </si>
  <si>
    <t>Rețea nouă de distribuție pentru localitatea Comlod, Dn 90 mm, PEHD</t>
  </si>
  <si>
    <t>Rețea nouă de distribuție pentru localitatea Comlod, Dn 125 mm, PEHD</t>
  </si>
  <si>
    <t>Rețea nouă de distribuție pentru localitatea Orosfaia, Dn 63 mm, PEHD</t>
  </si>
  <si>
    <t>Rețea nouă de distribuție pentru localitatea Orosfaia, Dn 75 mm, PEHD</t>
  </si>
  <si>
    <t>Rețea nouă de distribuție pentru localitatea Orosfaia, Dn 90 mm, PEHD</t>
  </si>
  <si>
    <t>Rețea nouă de distribuție pentru localitatea Orosfaia, Dn 125 mm, PEHD</t>
  </si>
  <si>
    <t>Mărirea capacității stației de pompare din localitatea Teaca</t>
  </si>
  <si>
    <t>Stație nouă de tratare containerizata pentru localitatea Budurelni</t>
  </si>
  <si>
    <t>Conductă nouă de aducțiune între SRP - Teaca și G.A. Pinticu, De 90 mm, PEHD</t>
  </si>
  <si>
    <t>Stație nouă de repompare (SRP) Pinticu</t>
  </si>
  <si>
    <t>Rezervor nou de înmagazinare a apei + stație de clorinare pentru localitatea Pinticu, V = 150 m3</t>
  </si>
  <si>
    <t>Teaca
+
Viile Tecii
+
Archiud
+
Pinticu
+
Ocnița
+
Budurleni</t>
  </si>
  <si>
    <t>Captare nouă de suprafață (râu) pentru zona turistică Colibița</t>
  </si>
  <si>
    <t>Stație nouă de tratare monobloc pentru zona turistică Colibița (captare de suprafață)</t>
  </si>
  <si>
    <t>Rețea nouă de distribuție în zona turistică Colibița, Dn 110 mm, PEHD</t>
  </si>
  <si>
    <t>Rețea nouă de distribuție pentru zona turistică Colibița, Dn 125 mm, PEHD</t>
  </si>
  <si>
    <t>Rețea nouă de distribuție pentru zona turistică Colibița, Dn 160 mm, PEHD</t>
  </si>
  <si>
    <t>Stație de pompare pentru zona turistică Colibița</t>
  </si>
  <si>
    <t>Stație de pompare pentru localitatea Mița</t>
  </si>
  <si>
    <r>
      <t>Reabilitare rezervor de înmagazinare a apei din localitatea Mița V = 100 m</t>
    </r>
    <r>
      <rPr>
        <vertAlign val="superscript"/>
        <sz val="11"/>
        <color theme="1"/>
        <rFont val="Calibri"/>
        <family val="2"/>
        <scheme val="minor"/>
      </rPr>
      <t>3</t>
    </r>
  </si>
  <si>
    <r>
      <t>Rezervor nou de înmagazinare a apei pentru zona turistică Colibița, V = 100 m</t>
    </r>
    <r>
      <rPr>
        <vertAlign val="superscript"/>
        <sz val="11"/>
        <rFont val="Calibri"/>
        <family val="2"/>
        <scheme val="minor"/>
      </rPr>
      <t>3</t>
    </r>
  </si>
  <si>
    <t>3</t>
  </si>
  <si>
    <t>3.2</t>
  </si>
  <si>
    <t>4</t>
  </si>
  <si>
    <t>5</t>
  </si>
  <si>
    <t>6</t>
  </si>
  <si>
    <t>7</t>
  </si>
  <si>
    <t>8</t>
  </si>
  <si>
    <t>9</t>
  </si>
  <si>
    <t>10</t>
  </si>
  <si>
    <t>11</t>
  </si>
  <si>
    <t>12</t>
  </si>
  <si>
    <t>Teaca
( € )</t>
  </si>
  <si>
    <t>Livezile               ( € )</t>
  </si>
  <si>
    <t>Canal nou colector pentru apele uzate din cartierele Liviu rebreanu și Lușca la SE Năsăud, Dn 250 mm, PVC</t>
  </si>
  <si>
    <t>15</t>
  </si>
  <si>
    <t>15.3</t>
  </si>
  <si>
    <t>16</t>
  </si>
  <si>
    <t>17</t>
  </si>
  <si>
    <t>18</t>
  </si>
  <si>
    <t>19</t>
  </si>
  <si>
    <t>20</t>
  </si>
  <si>
    <t>21</t>
  </si>
  <si>
    <t>22</t>
  </si>
  <si>
    <t>23</t>
  </si>
  <si>
    <t xml:space="preserve">Budacu de Jos
Budus
Monoriu
Simionești
</t>
  </si>
  <si>
    <t>Conductă de aducțiune nouă pentru localitatea Budacu de Jos, Dn 160 mm, PEHD</t>
  </si>
  <si>
    <t>Modernizare/extindere stație de pompare + rezervor tampon pentru Comuna Budacu de Jos</t>
  </si>
  <si>
    <t>Rețele de distribuție</t>
  </si>
  <si>
    <t>Rețea nouă de apă potabilă în Budacu de Jos, Dn 110 mm, PEHD</t>
  </si>
  <si>
    <t>Rețea nouă de apă potabilă în Budacu de Jos, Dn 125 mm, PEHD</t>
  </si>
  <si>
    <t>Extinderea conductei de aducțiune pentru alimentarea satului Monoriu din localitatea Budacu de Jos, Dn 125 mm, PEHD</t>
  </si>
  <si>
    <t>Extinderea conductei de aducțiune pentru alimentarea satului Simionești, Dn 110 mm, PEHD</t>
  </si>
  <si>
    <t>Total alimentare cu apă Comuna Budacu de Jos</t>
  </si>
  <si>
    <t xml:space="preserve">Costuri de investiții pe faze și aglomerări </t>
  </si>
  <si>
    <t>ANEXA 7.3.  COSTURI DE INVESTITII PE FAZE SI CATEGORII DE LUCRARI</t>
  </si>
  <si>
    <t>Investiție specifică
(Euro/cap de locuitor)</t>
  </si>
  <si>
    <t>Stație nouă de epurare pentru localitatea Barla si Santioana - capacitate - 1000 L.E.</t>
  </si>
  <si>
    <t>Rețea nouă de canalizare în localitatea Barla si Santioana,  Dn 250 mm, PVC</t>
  </si>
  <si>
    <t>Soluție individuală de epurare</t>
  </si>
  <si>
    <t>Soluție individuală de epurare pentru localitatea Sâniacob</t>
  </si>
  <si>
    <t>Soluție individuală de epurare pentru localitatea Miceștii de Câmpie</t>
  </si>
  <si>
    <t>Captare nouă puț forat în localitatea Sânicoara pentru alimentarea cu apă a satelor Sânicoara si Țentea</t>
  </si>
  <si>
    <t>Soluție individuală de epurare pentru localitata Strugureni</t>
  </si>
  <si>
    <t>438</t>
  </si>
  <si>
    <t>Stație noua de epurare pentru localitatea Mărișelu - capacitate 400 L.E.</t>
  </si>
  <si>
    <t>Rețea de apă uzată</t>
  </si>
  <si>
    <t>Rețea nouă de canalizare în localitatea Mărișelu, Dn 250 mm, PVC</t>
  </si>
  <si>
    <t>Măgurele</t>
  </si>
  <si>
    <t>289</t>
  </si>
  <si>
    <t>Stație noua de epurare pentru localitatea Domești - capacitate 830 L.E.</t>
  </si>
  <si>
    <t>global</t>
  </si>
  <si>
    <t>Soluție individuală de epurare pentru localitatea Lelești</t>
  </si>
  <si>
    <t xml:space="preserve">Soluție individuală de epurare pentru  localiatea Mogoșeni </t>
  </si>
  <si>
    <t xml:space="preserve">Soluție individuală de epuarare  pentru localitatea Budești - Fânațe, </t>
  </si>
  <si>
    <t>Soluție individuală de epurare pentru localitatea Tâgșoru</t>
  </si>
  <si>
    <t>Poderei</t>
  </si>
  <si>
    <t>Extindere conductă de aducțiune pentru localitatea Poderei, Dn 125 mm, PEHD</t>
  </si>
  <si>
    <t>Rețea nouă de distribuție în localitatea Poderei, Dn 110 mm, PEHD</t>
  </si>
  <si>
    <t>Rețea nouă de canalizare în localitatea Dumbrăvița, Dn 250 mm, PVC</t>
  </si>
  <si>
    <t>47</t>
  </si>
  <si>
    <t>47.1</t>
  </si>
  <si>
    <t>47.2</t>
  </si>
  <si>
    <t>48</t>
  </si>
  <si>
    <t>48.1</t>
  </si>
  <si>
    <t>48.2</t>
  </si>
  <si>
    <t>51</t>
  </si>
  <si>
    <t>51.1</t>
  </si>
  <si>
    <t>51.2</t>
  </si>
  <si>
    <t>53</t>
  </si>
  <si>
    <t>53.1</t>
  </si>
  <si>
    <t>53.2</t>
  </si>
  <si>
    <t>Rețea nouă de canalizare în localitate Dipșa, Dn 315 mm, PVC</t>
  </si>
  <si>
    <t>Rețea nouă  de distribuție  pentru localitatea Poderei, Dn 110 mm, PEHD</t>
  </si>
  <si>
    <t>Târlișua</t>
  </si>
  <si>
    <t>Agriș</t>
  </si>
  <si>
    <t>Captare nouă  de izvoare pentru localitatea Argiș</t>
  </si>
  <si>
    <t>Rețea nouă de distribuție în localitatea Agriș, Dn 110 mm, PEHD</t>
  </si>
  <si>
    <r>
      <t>Rezervor nou de înmagazinare a apei + stație de clorinare pentru Agriș, V = 200 m</t>
    </r>
    <r>
      <rPr>
        <vertAlign val="superscript"/>
        <sz val="11"/>
        <color theme="1"/>
        <rFont val="Calibri"/>
        <family val="2"/>
        <scheme val="minor"/>
      </rPr>
      <t>3</t>
    </r>
  </si>
  <si>
    <t>Agrișel</t>
  </si>
  <si>
    <t>Rețea nouă de distribuție în localitatea Agrișel, Dn 110 mm, PEHD</t>
  </si>
  <si>
    <r>
      <t>Rezervor nou de înmagazinare a apei + stație de clorinare pentru Agrișel, V = 50 m</t>
    </r>
    <r>
      <rPr>
        <vertAlign val="superscript"/>
        <sz val="11"/>
        <color theme="1"/>
        <rFont val="Calibri"/>
        <family val="2"/>
        <scheme val="minor"/>
      </rPr>
      <t>3</t>
    </r>
  </si>
  <si>
    <t>Oarzina</t>
  </si>
  <si>
    <t>Captare nouă puț (foraj) pentru localitatea Oarzina</t>
  </si>
  <si>
    <t>Rețea nouă de distribuție în localitatea Oarzina, Dn 110 mm, PEHD</t>
  </si>
  <si>
    <t>Cireași</t>
  </si>
  <si>
    <t>Front nou de captare (puț) pentru localitatea Cireași</t>
  </si>
  <si>
    <t>Rețea nouă de distribuție în localitatea Cireași, Dn 110 mm, PEHD</t>
  </si>
  <si>
    <r>
      <t>Rezervor nou de înmagazinare a apei + stație de clorinare pentru Cireași, V = 50 m</t>
    </r>
    <r>
      <rPr>
        <vertAlign val="superscript"/>
        <sz val="11"/>
        <color theme="1"/>
        <rFont val="Calibri"/>
        <family val="2"/>
        <scheme val="minor"/>
      </rPr>
      <t>3</t>
    </r>
  </si>
  <si>
    <t>Lunca Sătească</t>
  </si>
  <si>
    <t>Rețea nouă de distribuție în localitatea Lunca Sătească, Dn 110 mm, PEHD</t>
  </si>
  <si>
    <r>
      <t>Rezervor nou de înmagazinare a apei + stație de clorinare pentru Lunca Sătească, V = 50 m</t>
    </r>
    <r>
      <rPr>
        <vertAlign val="superscript"/>
        <sz val="11"/>
        <color theme="1"/>
        <rFont val="Calibri"/>
        <family val="2"/>
        <scheme val="minor"/>
      </rPr>
      <t>3</t>
    </r>
  </si>
  <si>
    <t>Borleasa</t>
  </si>
  <si>
    <t>Rețea nouă de distribuție în localitatea Borleasa, Dn 110 mm, PEHD</t>
  </si>
  <si>
    <t>Total alimentare cu apă Comuna Târlișua</t>
  </si>
  <si>
    <t>Colector nou de transfer ape uzate din localitatea Agriș la SE din Târlișua, Dn 315 mm, PVC</t>
  </si>
  <si>
    <t>Stație nouă de pompare pe rețeaua de canaliare din Agriș</t>
  </si>
  <si>
    <t>Rețea nouă de canalizare în localitatea Agriș, Dn 250 mm, PVC</t>
  </si>
  <si>
    <t>Soluție individuală de epurare pentru localitatea Agrișel</t>
  </si>
  <si>
    <t>Soluție individuală de epurare pentru localitatea Oarzina</t>
  </si>
  <si>
    <t>Soluție individuală de epurare pentru localitatea Cireași</t>
  </si>
  <si>
    <t>Soluție individuală de epurare pentru localitatea Lunca Sătească</t>
  </si>
  <si>
    <t>Stație nouă de epurare pentru localitatea Borleasa - capacitate 300 L.E.</t>
  </si>
  <si>
    <t>Rețea nouă de canalizare în localitatea Borleasa, Dn 250 mm, PVC</t>
  </si>
  <si>
    <t>Total apă uzată Comuna Târlișua</t>
  </si>
  <si>
    <t>Total Comuna Târlișua</t>
  </si>
  <si>
    <t>Captare nouă (put) pentru localitatea Lunca Sătească</t>
  </si>
  <si>
    <t>BECLEAN</t>
  </si>
  <si>
    <t>Târlișua                   (€)</t>
  </si>
  <si>
    <t>33.1</t>
  </si>
  <si>
    <t>33.2</t>
  </si>
  <si>
    <t>38</t>
  </si>
  <si>
    <t>Înlocuire rețea de distribuție din azbociment în localitatea Rodna, Dn 200 mm, PEHD</t>
  </si>
  <si>
    <r>
      <t>Rezervor nou de înmagazinare a apei + stație de clorinare pentru Comuna Miceștii de Campie, V = 450 m</t>
    </r>
    <r>
      <rPr>
        <vertAlign val="superscript"/>
        <sz val="11"/>
        <color theme="1"/>
        <rFont val="Calibri"/>
        <family val="2"/>
        <scheme val="minor"/>
      </rPr>
      <t>3</t>
    </r>
  </si>
  <si>
    <r>
      <t>Rezervor nou de înmagazinare apă + stație de clorinare în localitatea Sângeorzu Nou,          V = 250 m</t>
    </r>
    <r>
      <rPr>
        <vertAlign val="superscript"/>
        <sz val="11"/>
        <color theme="1"/>
        <rFont val="Calibri"/>
        <family val="2"/>
        <scheme val="minor"/>
      </rPr>
      <t>3</t>
    </r>
  </si>
  <si>
    <t>Stație nouă de pompare apă potabilă pentru alimentarea cu apă a localității Strâmba</t>
  </si>
  <si>
    <t>Total alimentare cu apă Comuna Ciceu Mihăești</t>
  </si>
  <si>
    <t>37</t>
  </si>
  <si>
    <t>Extindere rețea de canalizare în localitatea Ilva Mică, Dn 250 mm, PVC</t>
  </si>
  <si>
    <t>Extindere rețea de distribuție în localitatea Ilva Mică, Dn 125 mm, PEHD</t>
  </si>
  <si>
    <t>Stație nouă de epurare  pentru localitate Chiraleș, capacitate 500 L.E.</t>
  </si>
  <si>
    <t>TOTAL</t>
  </si>
  <si>
    <r>
      <t>Budești
(</t>
    </r>
    <r>
      <rPr>
        <b/>
        <sz val="10"/>
        <color theme="0"/>
        <rFont val="Calibri"/>
        <family val="2"/>
      </rPr>
      <t>€)</t>
    </r>
  </si>
  <si>
    <r>
      <t>Miceștii de Câmpie
(</t>
    </r>
    <r>
      <rPr>
        <b/>
        <sz val="10"/>
        <color theme="0"/>
        <rFont val="Calibri"/>
        <family val="2"/>
      </rPr>
      <t>€)</t>
    </r>
  </si>
  <si>
    <r>
      <t>Sânmihaiu de Câmpie
(</t>
    </r>
    <r>
      <rPr>
        <b/>
        <sz val="10"/>
        <color theme="0"/>
        <rFont val="Calibri"/>
        <family val="2"/>
      </rPr>
      <t>€)</t>
    </r>
  </si>
  <si>
    <r>
      <t>Matei 
(</t>
    </r>
    <r>
      <rPr>
        <b/>
        <sz val="10"/>
        <color theme="0"/>
        <rFont val="Calibri"/>
        <family val="2"/>
      </rPr>
      <t>€)</t>
    </r>
  </si>
  <si>
    <r>
      <t>Milaș
(</t>
    </r>
    <r>
      <rPr>
        <b/>
        <sz val="10"/>
        <color theme="0"/>
        <rFont val="Calibri"/>
        <family val="2"/>
      </rPr>
      <t>€)</t>
    </r>
  </si>
  <si>
    <r>
      <t>Chiochiș
(</t>
    </r>
    <r>
      <rPr>
        <b/>
        <sz val="10"/>
        <color theme="0"/>
        <rFont val="Calibri"/>
        <family val="2"/>
      </rPr>
      <t>€)</t>
    </r>
  </si>
  <si>
    <r>
      <t>Mărișelu
(</t>
    </r>
    <r>
      <rPr>
        <b/>
        <sz val="10"/>
        <color theme="0"/>
        <rFont val="Calibri"/>
        <family val="2"/>
      </rPr>
      <t>€)</t>
    </r>
  </si>
  <si>
    <r>
      <t>Bistrița Bârgăului 
(</t>
    </r>
    <r>
      <rPr>
        <b/>
        <sz val="10"/>
        <color theme="0"/>
        <rFont val="Calibri"/>
        <family val="2"/>
      </rPr>
      <t>€)</t>
    </r>
  </si>
  <si>
    <r>
      <t>Tiha Bârgăului
(</t>
    </r>
    <r>
      <rPr>
        <b/>
        <sz val="10"/>
        <color theme="0"/>
        <rFont val="Calibri"/>
        <family val="2"/>
      </rPr>
      <t>€)</t>
    </r>
  </si>
  <si>
    <r>
      <t>Josenii Bârgăului 
(</t>
    </r>
    <r>
      <rPr>
        <b/>
        <sz val="10"/>
        <color theme="0"/>
        <rFont val="Calibri"/>
        <family val="2"/>
      </rPr>
      <t>€)</t>
    </r>
  </si>
  <si>
    <r>
      <t>Municipiul Bistrița
(</t>
    </r>
    <r>
      <rPr>
        <b/>
        <sz val="10"/>
        <color theme="0"/>
        <rFont val="Calibri"/>
        <family val="2"/>
      </rPr>
      <t>€)</t>
    </r>
  </si>
  <si>
    <r>
      <t>Șieu
(</t>
    </r>
    <r>
      <rPr>
        <b/>
        <sz val="10"/>
        <color theme="0"/>
        <rFont val="Calibri"/>
        <family val="2"/>
      </rPr>
      <t>€)</t>
    </r>
  </si>
  <si>
    <r>
      <t>Șieuț
(</t>
    </r>
    <r>
      <rPr>
        <b/>
        <sz val="10"/>
        <color theme="0"/>
        <rFont val="Calibri"/>
        <family val="2"/>
      </rPr>
      <t>€)</t>
    </r>
  </si>
  <si>
    <r>
      <t>Maieru
(</t>
    </r>
    <r>
      <rPr>
        <b/>
        <sz val="10"/>
        <color theme="0"/>
        <rFont val="Calibri"/>
        <family val="2"/>
      </rPr>
      <t>€)</t>
    </r>
  </si>
  <si>
    <r>
      <t>Rodna
(</t>
    </r>
    <r>
      <rPr>
        <b/>
        <sz val="10"/>
        <color theme="0"/>
        <rFont val="Calibri"/>
        <family val="2"/>
      </rPr>
      <t>€)</t>
    </r>
  </si>
  <si>
    <r>
      <t>Oraș Sângeorz - Băi
(</t>
    </r>
    <r>
      <rPr>
        <b/>
        <sz val="10"/>
        <color theme="0"/>
        <rFont val="Calibri"/>
        <family val="2"/>
      </rPr>
      <t>€)</t>
    </r>
  </si>
  <si>
    <r>
      <t>Oraș Năsăud
(</t>
    </r>
    <r>
      <rPr>
        <b/>
        <sz val="10"/>
        <color theme="0"/>
        <rFont val="Calibri"/>
        <family val="2"/>
      </rPr>
      <t>€)</t>
    </r>
  </si>
  <si>
    <r>
      <t>Poiana Ilvei 
(</t>
    </r>
    <r>
      <rPr>
        <b/>
        <sz val="10"/>
        <color theme="0"/>
        <rFont val="Calibri"/>
        <family val="2"/>
      </rPr>
      <t>€)</t>
    </r>
  </si>
  <si>
    <r>
      <t>Ilva Mică
(</t>
    </r>
    <r>
      <rPr>
        <b/>
        <sz val="10"/>
        <color theme="0"/>
        <rFont val="Calibri"/>
        <family val="2"/>
      </rPr>
      <t>€)</t>
    </r>
  </si>
  <si>
    <r>
      <t>Petru Rareș
(</t>
    </r>
    <r>
      <rPr>
        <b/>
        <sz val="10"/>
        <color theme="0"/>
        <rFont val="Calibri"/>
        <family val="2"/>
      </rPr>
      <t>€)</t>
    </r>
  </si>
  <si>
    <r>
      <t>Ciceu Mihăești 
(</t>
    </r>
    <r>
      <rPr>
        <b/>
        <sz val="10"/>
        <color theme="0"/>
        <rFont val="Calibri"/>
        <family val="2"/>
      </rPr>
      <t>€)</t>
    </r>
  </si>
  <si>
    <r>
      <t>Oraș Beclean 
(</t>
    </r>
    <r>
      <rPr>
        <b/>
        <sz val="10"/>
        <color theme="0"/>
        <rFont val="Calibri"/>
        <family val="2"/>
      </rPr>
      <t>€)</t>
    </r>
  </si>
  <si>
    <r>
      <t>Braniștea 
(</t>
    </r>
    <r>
      <rPr>
        <b/>
        <sz val="10"/>
        <color theme="0"/>
        <rFont val="Calibri"/>
        <family val="2"/>
      </rPr>
      <t>€)</t>
    </r>
  </si>
  <si>
    <r>
      <t>Chiuza
(</t>
    </r>
    <r>
      <rPr>
        <b/>
        <sz val="10"/>
        <color theme="0"/>
        <rFont val="Calibri"/>
        <family val="2"/>
      </rPr>
      <t>€)</t>
    </r>
  </si>
  <si>
    <r>
      <t>Uriu
(</t>
    </r>
    <r>
      <rPr>
        <b/>
        <sz val="10"/>
        <color theme="0"/>
        <rFont val="Calibri"/>
        <family val="2"/>
      </rPr>
      <t>€)</t>
    </r>
  </si>
  <si>
    <r>
      <t>Dumitrița
(</t>
    </r>
    <r>
      <rPr>
        <b/>
        <sz val="10"/>
        <color theme="0"/>
        <rFont val="Calibri"/>
        <family val="2"/>
      </rPr>
      <t>€)</t>
    </r>
  </si>
  <si>
    <r>
      <t>Prundu Bârgăului
(</t>
    </r>
    <r>
      <rPr>
        <b/>
        <sz val="10"/>
        <color theme="0"/>
        <rFont val="Calibri"/>
        <family val="2"/>
      </rPr>
      <t>€)</t>
    </r>
  </si>
  <si>
    <r>
      <t>Rebrișoara
(</t>
    </r>
    <r>
      <rPr>
        <b/>
        <sz val="10"/>
        <color theme="0"/>
        <rFont val="Calibri"/>
        <family val="2"/>
      </rPr>
      <t>€)</t>
    </r>
  </si>
  <si>
    <r>
      <t>Feldru
(</t>
    </r>
    <r>
      <rPr>
        <b/>
        <sz val="10"/>
        <color theme="0"/>
        <rFont val="Calibri"/>
        <family val="2"/>
      </rPr>
      <t>€)</t>
    </r>
  </si>
  <si>
    <r>
      <t>Slava
(</t>
    </r>
    <r>
      <rPr>
        <b/>
        <sz val="10"/>
        <color theme="0"/>
        <rFont val="Calibri"/>
        <family val="2"/>
      </rPr>
      <t>€)</t>
    </r>
  </si>
  <si>
    <r>
      <t>Căianu Mic 
(</t>
    </r>
    <r>
      <rPr>
        <b/>
        <sz val="10"/>
        <color theme="0"/>
        <rFont val="Calibri"/>
        <family val="2"/>
      </rPr>
      <t>€)</t>
    </r>
  </si>
  <si>
    <r>
      <t>Ciceu - Giurgești
(</t>
    </r>
    <r>
      <rPr>
        <b/>
        <sz val="10"/>
        <color theme="0"/>
        <rFont val="Calibri"/>
        <family val="2"/>
      </rPr>
      <t>€)</t>
    </r>
  </si>
  <si>
    <r>
      <t>Coșbuc 
(</t>
    </r>
    <r>
      <rPr>
        <b/>
        <sz val="10"/>
        <color theme="0"/>
        <rFont val="Calibri"/>
        <family val="2"/>
      </rPr>
      <t>€)</t>
    </r>
  </si>
  <si>
    <r>
      <t>Ilva Mare
(</t>
    </r>
    <r>
      <rPr>
        <b/>
        <sz val="10"/>
        <color theme="0"/>
        <rFont val="Calibri"/>
        <family val="2"/>
      </rPr>
      <t>€)</t>
    </r>
  </si>
  <si>
    <r>
      <t>Leșu
(</t>
    </r>
    <r>
      <rPr>
        <b/>
        <sz val="10"/>
        <color theme="0"/>
        <rFont val="Calibri"/>
        <family val="2"/>
      </rPr>
      <t>€)</t>
    </r>
  </si>
  <si>
    <r>
      <t>Lunca Ilvei 
(</t>
    </r>
    <r>
      <rPr>
        <b/>
        <sz val="10"/>
        <color theme="0"/>
        <rFont val="Calibri"/>
        <family val="2"/>
      </rPr>
      <t>€)</t>
    </r>
  </si>
  <si>
    <r>
      <t>Negrilești
(</t>
    </r>
    <r>
      <rPr>
        <b/>
        <sz val="10"/>
        <color theme="0"/>
        <rFont val="Calibri"/>
        <family val="2"/>
      </rPr>
      <t>€)</t>
    </r>
  </si>
  <si>
    <r>
      <t>Nimigea 
(</t>
    </r>
    <r>
      <rPr>
        <b/>
        <sz val="10"/>
        <color theme="0"/>
        <rFont val="Calibri"/>
        <family val="2"/>
      </rPr>
      <t>€)</t>
    </r>
  </si>
  <si>
    <r>
      <t>Rebra
(</t>
    </r>
    <r>
      <rPr>
        <b/>
        <sz val="10"/>
        <color theme="0"/>
        <rFont val="Calibri"/>
        <family val="2"/>
      </rPr>
      <t>€)</t>
    </r>
  </si>
  <si>
    <r>
      <t>Runcu Salvei 
(</t>
    </r>
    <r>
      <rPr>
        <b/>
        <sz val="10"/>
        <color theme="0"/>
        <rFont val="Calibri"/>
        <family val="2"/>
      </rPr>
      <t>€)</t>
    </r>
  </si>
  <si>
    <r>
      <t>Spermezeu
(</t>
    </r>
    <r>
      <rPr>
        <b/>
        <sz val="10"/>
        <color theme="0"/>
        <rFont val="Calibri"/>
        <family val="2"/>
      </rPr>
      <t>€)</t>
    </r>
  </si>
  <si>
    <r>
      <t>Șieu  - Odorhei
(</t>
    </r>
    <r>
      <rPr>
        <b/>
        <sz val="10"/>
        <color theme="0"/>
        <rFont val="Calibri"/>
        <family val="2"/>
      </rPr>
      <t>€)</t>
    </r>
  </si>
  <si>
    <r>
      <t>Telciu 
(</t>
    </r>
    <r>
      <rPr>
        <b/>
        <sz val="10"/>
        <color theme="0"/>
        <rFont val="Calibri"/>
        <family val="2"/>
      </rPr>
      <t>€)</t>
    </r>
  </si>
  <si>
    <r>
      <t>Zagra
(</t>
    </r>
    <r>
      <rPr>
        <b/>
        <sz val="10"/>
        <color theme="0"/>
        <rFont val="Calibri"/>
        <family val="2"/>
      </rPr>
      <t>€)</t>
    </r>
  </si>
  <si>
    <t>ALIMENTARE CU APĂ</t>
  </si>
  <si>
    <t>APĂ UZATĂ</t>
  </si>
  <si>
    <t>Budacu de Sus</t>
  </si>
  <si>
    <t>Conductă de aducțiune nouă din localitatea Orheiu Bistriței în localitatea Budacu de Sus, Dn 200 mm, PEHD</t>
  </si>
  <si>
    <t>Extindere rețea de distribuție în localitatea Budacu de Sus, Dn 110 mm, PEHD</t>
  </si>
  <si>
    <t>Total alimentare cu apă Comuna Dumitrița</t>
  </si>
  <si>
    <t>Faza 2*   Fonduri de coeziune                (€)</t>
  </si>
  <si>
    <t xml:space="preserve">Faza 2*            Alte fonduri       ( € )  </t>
  </si>
  <si>
    <t>Fazele următoare*
(€)</t>
  </si>
  <si>
    <t>Faza 2*                        Fonduri de  coeziune               2014-2020                           ( € )</t>
  </si>
  <si>
    <t>Faza 2*                            Alte fonduri              2014-2020
( € )</t>
  </si>
  <si>
    <t>Fazele următoare*                           După 2020
( € )</t>
  </si>
  <si>
    <t xml:space="preserve">Budacu de Jos </t>
  </si>
  <si>
    <t>Stație nouă de epurare pentru localitatea Șieu - Odorhei - capacitate 830 L.E.</t>
  </si>
  <si>
    <t>-</t>
  </si>
  <si>
    <t>Comună</t>
  </si>
  <si>
    <t>L.E.</t>
  </si>
  <si>
    <t>Justificare</t>
  </si>
  <si>
    <t>Sursă proprie</t>
  </si>
  <si>
    <t>Lechița</t>
  </si>
  <si>
    <t>Viile Tecii</t>
  </si>
  <si>
    <t xml:space="preserve"> Miceștii de Campie</t>
  </si>
  <si>
    <t xml:space="preserve"> Sânmihaiu de Câmpie</t>
  </si>
  <si>
    <t xml:space="preserve"> Lechința</t>
  </si>
  <si>
    <t>Dipșa</t>
  </si>
  <si>
    <t>PE</t>
  </si>
  <si>
    <t>Bistrița Bârgăului</t>
  </si>
  <si>
    <t xml:space="preserve"> Bistrița Bârgăului</t>
  </si>
  <si>
    <t>Bistrița Bârgăulu</t>
  </si>
  <si>
    <t>Colibița</t>
  </si>
  <si>
    <t>Tiha Bârgăului</t>
  </si>
  <si>
    <t>Josenii Bârgăului</t>
  </si>
  <si>
    <t>Strîmba</t>
  </si>
  <si>
    <t>Livezile</t>
  </si>
  <si>
    <t xml:space="preserve">Bistrița Bârgău </t>
  </si>
  <si>
    <t>Oraș</t>
  </si>
  <si>
    <t xml:space="preserve">  Bistrița</t>
  </si>
  <si>
    <t>Sângeorz - Anieș</t>
  </si>
  <si>
    <t>Sângeorz  - Băi</t>
  </si>
  <si>
    <t>Năsăud - Rebra</t>
  </si>
  <si>
    <t>Năsaud</t>
  </si>
  <si>
    <t>Năasăud/Salva</t>
  </si>
  <si>
    <t>Poiana Ilvei - Sistem rural de alimentare cu apă</t>
  </si>
  <si>
    <t>Poiana Ilvei - sistem local de canaliare</t>
  </si>
  <si>
    <t>Ilva Mică - sistem rural de alimentare cu apă</t>
  </si>
  <si>
    <t>Ilva Mică - aglomerare rurală</t>
  </si>
  <si>
    <t>Budacu de Jos</t>
  </si>
  <si>
    <t>Petru Rareș</t>
  </si>
  <si>
    <t xml:space="preserve">Beclean </t>
  </si>
  <si>
    <t>Extindere rețea de distribuție în localitatea Ciceu  Mihăești, Dn 110 mm, PEHD</t>
  </si>
  <si>
    <t>Sistem local de alimentare cu apă</t>
  </si>
  <si>
    <t>Cetate</t>
  </si>
  <si>
    <t>Bistrița/ Cușma</t>
  </si>
  <si>
    <t xml:space="preserve"> Șieu Măgheruș</t>
  </si>
  <si>
    <t>Chiuza</t>
  </si>
  <si>
    <t xml:space="preserve"> Prundu Bârgăului</t>
  </si>
  <si>
    <t>Feldru</t>
  </si>
  <si>
    <t>Năsău/Salva</t>
  </si>
  <si>
    <t>Năsăud /Rebra</t>
  </si>
  <si>
    <t>Năsăud/Rebra</t>
  </si>
  <si>
    <t>Coșbuc - sistem local de canalizare realizat pe Măsura 322</t>
  </si>
  <si>
    <t>Coșbuc - sistem local de alimentare cu apă realizat pe Măsura 322</t>
  </si>
  <si>
    <t>Ilva Mare - sistem local de alimentare cu apă relizat prin alte fonduri</t>
  </si>
  <si>
    <t>Ilva Mare - sistem local de canalizare relizat prin alte fonduri</t>
  </si>
  <si>
    <t>Leșu - sistem local de canalizare realizat prin alte fonduri</t>
  </si>
  <si>
    <t>Lunca Ilvei - sistem de alimentare cu apă local</t>
  </si>
  <si>
    <t>Lunca Ilvei - sistem de canalizare local realizat din alte fonduri</t>
  </si>
  <si>
    <t>Runcu Salvei - sistem local de alimentare cu apă relizat prin alte fonduri</t>
  </si>
  <si>
    <t xml:space="preserve">Sistem rural de alimentare cu apă </t>
  </si>
  <si>
    <t>Localitățile Cușma și Valea Poenii sunt aglomerări sub 2000 L.E. , motiv pentru care nu au fost propuse investiții în sistemul de canalizare prin fonduri de coeziune.</t>
  </si>
  <si>
    <t>Localitatea Posmuș  este o aglomerare sub 2000 L.E. , motiv pentru care nu au fost propuse investiții în sistemul de canalizare prin fonduri de coeziune.</t>
  </si>
  <si>
    <t>Localitățile Șieuț și Rustișor  sunt aglomerări  sub 2000 L.E. , motiv pentru care nu au fost propuse investiții în sistemul de canalizare prin fonduri de coeziune.</t>
  </si>
  <si>
    <t>Localitatea Sebiș  este o aglomerare sub 2000 L.E. , motiv pentru care nu au fost propuse investiții în sistemul de canalizare prin fonduri de coeziune.</t>
  </si>
  <si>
    <t>Localitatea Lunca este o aglomerare sub 2000 L.E. , motiv pentru care nu au fost propuse investiții în sistemul de canalizare prin fonduri de coeziune.</t>
  </si>
  <si>
    <t>Instalația de tratare de la Anieș trebuie reabilitată pentru a satisface nevoile actuale, în special în cazurile în care structurile se află în stare rezonabilă, resursa și calitatea apei sunt bune.
Reabilitarea captării și instalației de tratare va perimite susrei de la Anieș să alimenteze cu apă la capacitatea sa proiectată de aproximativ  120 l/s.</t>
  </si>
  <si>
    <t>Modernizarea stației de tratare existente, capacitate existenta Q = 120 l/s.</t>
  </si>
  <si>
    <t>Localitatea Poiana Ilvei este o aglomerare sub 2000 L.E. , motiv pentru care nu au fost propuse investiții în sistemul de canalizare prin fonduri de coeziune.</t>
  </si>
  <si>
    <t>Rețea nouă de apă potabilă în satul Buduș, 
Dn 110 mm, PEHD</t>
  </si>
  <si>
    <t>Rețea nouă de apă potabilă în satul Buduș,
 Dn 125 mm, PEHD</t>
  </si>
  <si>
    <t>Conductă de refulare redimensionata, 
Dn 125 mm, PEHD pentru alimentarea comunei Budacu de Jos</t>
  </si>
  <si>
    <t>Localitatea Ciceu Corabia este o aglomerare sub 2000 L.E. , motiv pentru care nu au fost propuse investiții în sistemul de canalizare prin fonduri de coeziune.</t>
  </si>
  <si>
    <t>Localitatea Lelești este o aglomerare sub 2000 L.E. , motiv pentru care nu au fost propuse investiții în sistemul de canalizare prin fonduri de coeziune.</t>
  </si>
  <si>
    <t>Localitatea Malin este o aglomerare sub 2000 L.E. , motiv pentru care nu au fost propuse investiții în sistemul de canalizare prin fonduri de coeziune.</t>
  </si>
  <si>
    <t>Localitatea Vița este o aglomerare sub 2000 L.E. , motiv pentru care nu au fost propuse investiții în sistemul de canalizare prin fonduri de coeziune.</t>
  </si>
  <si>
    <t>Localitatea Arcalia este o aglomerare sub 2000 L.E. , motiv pentru care nu au fost propuse investiții în sistemul de canalizare prin fonduri de coeziune.</t>
  </si>
  <si>
    <t>Localitatea Sărățel este o aglomerare sub 2000 L.E. , motiv pentru care nu au fost propuse investiții în sistemul de canalizare prin fonduri de coeziune.</t>
  </si>
  <si>
    <t>Localitatea Valea Măgheruș este o aglomerare sub 2000 L.E. , motiv pentru care nu au fost propuse investiții în sistemul de canalizare prin fonduri de coeziune.</t>
  </si>
  <si>
    <t>Localitatea Poderei este o aglomerare sub 2000 L.E. , motiv pentru care nu au fost propuse investiții în sistemul de canalizare prin fonduri de coeziune.</t>
  </si>
  <si>
    <t>Localitatea Șieu - Sfântu este o aglomerare sub 2000 L.E. , motiv pentru care nu au fost propuse investiții în sistemul de canalizare prin fonduri de coeziune.</t>
  </si>
  <si>
    <t>Localitatea Șinterag - Gară este o aglomerare sub 2000 L.E. , motiv pentru care nu au fost propuse investiții în sistemul de canalizare prin fonduri de coeziune.</t>
  </si>
  <si>
    <t>Localitatea Cireșoaia  este o aglomerare sub 2000 L.E. , motiv pentru care nu au fost propuse investiții în sistemul de canalizare prin fonduri de coeziune.</t>
  </si>
  <si>
    <t>Localitatea Hășmașu Ciceului este o aglomerare sub 2000 L.E. , motiv pentru care nu au fost propuse investiții în sistemul de canalizare prin fonduri de coeziune.</t>
  </si>
  <si>
    <t>Localitatea Ciceu Poieni este o aglomerare sub 2000 L.E. , motiv pentru care nu au fost propuse investiții în sistemul de canalizare prin fonduri de coeziune.</t>
  </si>
  <si>
    <t>Localitatea Dumbrăveni  este o aglomerare sub 2000 L.E. , motiv pentru care nu au fost propuse investiții în sistemul de canalizare prin fonduri de coeziune.</t>
  </si>
  <si>
    <t>Localitatea Nimigea de Sus este o aglomerare sub 2000 L.E. , motiv pentru care nu au fost propuse investiții în sistemul de canalizare prin fonduri de coeziune.</t>
  </si>
  <si>
    <t>Localitatea Mogoșeni este o aglomerare sub 2000 L.E. , motiv pentru care nu au fost propuse investiții în sistemul de canalizare prin fonduri de coeziune.</t>
  </si>
  <si>
    <t>Localitatea Mintiu este o aglomerare sub 2000 L.E. , motiv pentru care nu au fost propuse investiții în sistemul de canalizare prin fonduri de coeziune.</t>
  </si>
  <si>
    <t>Localitatea Taure este o aglomerare sub 2000 L.E. , motiv pentru care nu au fost propuse investiții în sistemul de canalizare prin fonduri de coeziune.</t>
  </si>
  <si>
    <t>Localitatea Runcu Salvei este o aglomerare sub 2000 L.E. , motiv pentru care nu au fost propuse investiții în sistemul de canalizare prin fonduri de coeziune.</t>
  </si>
  <si>
    <t>Localitatea  Dobricel este o aglomerare sub 2000 L.E. , motiv pentru care nu au fost propuse investiții în sistemul de canalizare prin fonduri de coeziune.</t>
  </si>
  <si>
    <t>Localitatea Păltineasa  este o aglomerare sub 2000 L.E. , motiv pentru care nu au fost propuse investiții în sistemul de canalizare prin fonduri de coeziune.</t>
  </si>
  <si>
    <t>Localitatea Șesuri - Spermezeu Vale este o aglomerare sub 2000 L.E. , motiv pentru care nu au fost propuse investiții în sistemul de canalizare prin fonduri de coeziune.</t>
  </si>
  <si>
    <t>Localitatea Coasta  este o aglomerare sub 2000 L.E. , motiv pentru care nu au fost propuse investiții în sistemul de canalizare prin fonduri de coeziune.</t>
  </si>
  <si>
    <t>Localitatea Șirioara  este o aglomerare sub 2000 L.E. , motiv pentru care nu au fost propuse investiții în sistemul de canalizare prin fonduri de coeziune.</t>
  </si>
  <si>
    <t>Localitatea Agrișu de Sus  este o aglomerare sub 2000 L.E. , motiv pentru care nu au fost propuse investiții în sistemul de canalizare prin fonduri de coeziune.</t>
  </si>
  <si>
    <t>Localitatea Agrișu de Jos  este o aglomerare sub 2000 L.E. , motiv pentru care nu au fost propuse investiții în sistemul de canalizare prin fonduri de coeziune.</t>
  </si>
  <si>
    <t>Localitatea Cristur- Șieu  este o aglomerare sub 2000 L.E. , motiv pentru care nu au fost propuse investiții în sistemul de canalizare prin fonduri de coeziune.</t>
  </si>
  <si>
    <t>Localitatea Bretea  este o aglomerare sub 2000 L.E. , motiv pentru care nu au fost propuse investiții în sistemul de canalizare prin fonduri de coeziune.</t>
  </si>
  <si>
    <t>Localitatea Agriș  este o aglomerare sub 2000 L.E. , motiv pentru care nu au fost propuse investiții în sistemul de canalizare prin fonduri de coeziune.</t>
  </si>
  <si>
    <t>Localitatea Agrișel  este o aglomerare sub 2000 L.E. , motiv pentru care nu au fost propuse investiții în sistemul de canalizare prin fonduri de coeziune.</t>
  </si>
  <si>
    <t>Localitatea Oarzina  este o aglomerare sub 2000 L.E. , motiv pentru care nu au fost propuse investiții în sistemul de canalizare prin fonduri de coeziune.</t>
  </si>
  <si>
    <t>Localitatea Cireași este o aglomerare sub 2000 L.E. , motiv pentru care nu au fost propuse investiții în sistemul de canalizare prin fonduri de coeziune.</t>
  </si>
  <si>
    <t>Localitatea Lunca Sătească  este o aglomerare sub 2000 L.E. , motiv pentru care nu au fost propuse investiții în sistemul de canalizare prin fonduri de coeziune.</t>
  </si>
  <si>
    <t>Localitatea Borleasa  este o aglomerare sub 2000 L.E. , motiv pentru care nu au fost propuse investiții în sistemul de canalizare prin fonduri de coeziune.</t>
  </si>
  <si>
    <t>Localitatea Suplai  este o aglomerare sub 2000 L.E. , motiv pentru care nu au fost propuse investiții în sistemul de canalizare prin fonduri de coeziune.</t>
  </si>
  <si>
    <t>Localitatea Alunișul  este o aglomerare sub 2000 L.E. , motiv pentru care nu au fost propuse investiții în sistemul de canalizare prin fonduri de coeziune.</t>
  </si>
  <si>
    <r>
      <rPr>
        <b/>
        <sz val="11"/>
        <color theme="1"/>
        <rFont val="Calibri"/>
        <family val="2"/>
        <scheme val="minor"/>
      </rPr>
      <t>1.</t>
    </r>
    <r>
      <rPr>
        <sz val="11"/>
        <color theme="1"/>
        <rFont val="Calibri"/>
        <family val="2"/>
        <scheme val="minor"/>
      </rPr>
      <t xml:space="preserve"> lipsa surselor de apă potabilă din zonă conform cu standardele în vigoare în ceea ce privește calitatea apei potabile;
</t>
    </r>
    <r>
      <rPr>
        <b/>
        <sz val="11"/>
        <color theme="1"/>
        <rFont val="Calibri"/>
        <family val="2"/>
        <scheme val="minor"/>
      </rPr>
      <t>2.</t>
    </r>
    <r>
      <rPr>
        <sz val="11"/>
        <color theme="1"/>
        <rFont val="Calibri"/>
        <family val="2"/>
        <scheme val="minor"/>
      </rPr>
      <t xml:space="preserve"> localități cu peste 50 de locuitori;
</t>
    </r>
    <r>
      <rPr>
        <b/>
        <sz val="11"/>
        <color theme="1"/>
        <rFont val="Calibri"/>
        <family val="2"/>
        <scheme val="minor"/>
      </rPr>
      <t>3.</t>
    </r>
    <r>
      <rPr>
        <sz val="11"/>
        <color theme="1"/>
        <rFont val="Calibri"/>
        <family val="2"/>
        <scheme val="minor"/>
      </rPr>
      <t xml:space="preserve"> asigurarea gradului de conectare de 100% până în 2015;
</t>
    </r>
    <r>
      <rPr>
        <b/>
        <sz val="11"/>
        <color theme="1"/>
        <rFont val="Calibri"/>
        <family val="2"/>
        <scheme val="minor"/>
      </rPr>
      <t>4.</t>
    </r>
    <r>
      <rPr>
        <sz val="11"/>
        <color theme="1"/>
        <rFont val="Calibri"/>
        <family val="2"/>
        <scheme val="minor"/>
      </rPr>
      <t xml:space="preserve"> investiții în sistemul de alimentare cu apa: max. 1.000 Euro / locuitor; invetiția pentru comuna Budești a fost adunată cu investițiile din comuna Miceștii de Câmpie, Sânmihaiu de Câmpie, Matei, Teaca, localitatea Sângeorzu Nou din Comuna Lechința și localitățile Orosfaia și Comlod din Comuna Milaș.
</t>
    </r>
    <r>
      <rPr>
        <b/>
        <sz val="11"/>
        <color theme="1"/>
        <rFont val="Calibri"/>
        <family val="2"/>
        <scheme val="minor"/>
      </rPr>
      <t>5.</t>
    </r>
    <r>
      <rPr>
        <sz val="11"/>
        <color theme="1"/>
        <rFont val="Calibri"/>
        <family val="2"/>
        <scheme val="minor"/>
      </rPr>
      <t xml:space="preserve"> Comuna Budești este membră ADI - Apă - Canalizare - Bistrița.</t>
    </r>
  </si>
  <si>
    <t>Localitatea Budești este o aglomerare sub 2000 L.E. , motiv pentru care nu au fost propuse investiții în sistemul de canalizare prin fonduri de coeziune.</t>
  </si>
  <si>
    <t>Localitatea Budești - Fânațe  este o aglomerare sub 2000 L.E. , motiv pentru care nu au fost propuse investiții în sistemul de canalizare prin fonduri de coeziune.</t>
  </si>
  <si>
    <t>Localitatea Tâgu  este o aglomerare sub 2000 L.E. , motiv pentru care nu au fost propuse investiții în sistemul de canalizare prin fonduri de coeziune.</t>
  </si>
  <si>
    <t>Localitatea Tâgșoru este o aglomerare sub 2000 L.E. , motiv pentru care nu au fost propuse investiții în sistemul de canalizare prin fonduri de coeziune.</t>
  </si>
  <si>
    <r>
      <rPr>
        <b/>
        <sz val="11"/>
        <color theme="1"/>
        <rFont val="Calibri"/>
        <family val="2"/>
        <scheme val="minor"/>
      </rPr>
      <t>1.</t>
    </r>
    <r>
      <rPr>
        <sz val="11"/>
        <color theme="1"/>
        <rFont val="Calibri"/>
        <family val="2"/>
        <scheme val="minor"/>
      </rPr>
      <t xml:space="preserve"> lipsa surselor de apă potabilă din zonă conform cu standardele în vigoare în ceea ce privește calitatea apei potabile;
</t>
    </r>
    <r>
      <rPr>
        <b/>
        <sz val="11"/>
        <color theme="1"/>
        <rFont val="Calibri"/>
        <family val="2"/>
        <scheme val="minor"/>
      </rPr>
      <t xml:space="preserve">2. </t>
    </r>
    <r>
      <rPr>
        <sz val="11"/>
        <color theme="1"/>
        <rFont val="Calibri"/>
        <family val="2"/>
        <scheme val="minor"/>
      </rPr>
      <t xml:space="preserve">localități cu peste 50 de locuitori;
</t>
    </r>
    <r>
      <rPr>
        <b/>
        <sz val="11"/>
        <color theme="1"/>
        <rFont val="Calibri"/>
        <family val="2"/>
        <scheme val="minor"/>
      </rPr>
      <t>3.</t>
    </r>
    <r>
      <rPr>
        <sz val="11"/>
        <color theme="1"/>
        <rFont val="Calibri"/>
        <family val="2"/>
        <scheme val="minor"/>
      </rPr>
      <t xml:space="preserve"> asigurarea gradului de conectare de 100% până în 2015;
</t>
    </r>
    <r>
      <rPr>
        <b/>
        <sz val="11"/>
        <color theme="1"/>
        <rFont val="Calibri"/>
        <family val="2"/>
        <scheme val="minor"/>
      </rPr>
      <t>4.</t>
    </r>
    <r>
      <rPr>
        <sz val="11"/>
        <color theme="1"/>
        <rFont val="Calibri"/>
        <family val="2"/>
        <scheme val="minor"/>
      </rPr>
      <t xml:space="preserve"> investiții în sistemul de alimentare cu apa: max. 1.000 Euro / locuitor; invetiția pentru comuna Miceștii de Câmpie a fost adunată cu investițiile din comuna Budești, Sânmihaiu de Câmpie, Matei, Teaca , localitatea Sângeorzu Nou din Comuna Lechința și localitățile Orosfaia și Comlod din Comuna Milaș.
</t>
    </r>
    <r>
      <rPr>
        <b/>
        <sz val="11"/>
        <color theme="1"/>
        <rFont val="Calibri"/>
        <family val="2"/>
        <scheme val="minor"/>
      </rPr>
      <t>5.</t>
    </r>
    <r>
      <rPr>
        <sz val="11"/>
        <color theme="1"/>
        <rFont val="Calibri"/>
        <family val="2"/>
        <scheme val="minor"/>
      </rPr>
      <t xml:space="preserve"> Comuna Miceștii de Câmpie  este membră ADI - Apă - Canalizare - Bistrița.</t>
    </r>
  </si>
  <si>
    <t>Localitatea Miceștii de Câmpie  este o aglomerare sub 2000 L.E. , motiv pentru care nu au fost propuse investiții în sistemul de canalizare prin fonduri de coeziune.</t>
  </si>
  <si>
    <t>Localitatea Vișuia  este o aglomerare sub 2000 L.E. , motiv pentru care nu au fost propuse investiții în sistemul de canalizare prin fonduri de coeziune.</t>
  </si>
  <si>
    <t>Localitatea Fântânița este o aglomerare sub 2000 L.E. , motiv pentru care nu au fost propuse investiții în sistemul de canalizare prin fonduri de coeziune.</t>
  </si>
  <si>
    <r>
      <rPr>
        <b/>
        <sz val="11"/>
        <color theme="1"/>
        <rFont val="Calibri"/>
        <family val="2"/>
        <scheme val="minor"/>
      </rPr>
      <t>1.</t>
    </r>
    <r>
      <rPr>
        <sz val="11"/>
        <color theme="1"/>
        <rFont val="Calibri"/>
        <family val="2"/>
        <scheme val="minor"/>
      </rPr>
      <t xml:space="preserve"> lipsa surselor de apă potabilă din zonă conform cu standardele în vigoare în ceea ce privește calitatea apei potabile;
</t>
    </r>
    <r>
      <rPr>
        <b/>
        <sz val="11"/>
        <color theme="1"/>
        <rFont val="Calibri"/>
        <family val="2"/>
        <scheme val="minor"/>
      </rPr>
      <t>2.</t>
    </r>
    <r>
      <rPr>
        <sz val="11"/>
        <color theme="1"/>
        <rFont val="Calibri"/>
        <family val="2"/>
        <scheme val="minor"/>
      </rPr>
      <t xml:space="preserve"> localități cu peste 50 de locuitori;
</t>
    </r>
    <r>
      <rPr>
        <b/>
        <sz val="11"/>
        <color theme="1"/>
        <rFont val="Calibri"/>
        <family val="2"/>
        <scheme val="minor"/>
      </rPr>
      <t>3.</t>
    </r>
    <r>
      <rPr>
        <sz val="11"/>
        <color theme="1"/>
        <rFont val="Calibri"/>
        <family val="2"/>
        <scheme val="minor"/>
      </rPr>
      <t xml:space="preserve"> asigurarea gradului de conectare de 100% până în 2015;
</t>
    </r>
    <r>
      <rPr>
        <b/>
        <sz val="11"/>
        <color theme="1"/>
        <rFont val="Calibri"/>
        <family val="2"/>
        <scheme val="minor"/>
      </rPr>
      <t>4.</t>
    </r>
    <r>
      <rPr>
        <sz val="11"/>
        <color theme="1"/>
        <rFont val="Calibri"/>
        <family val="2"/>
        <scheme val="minor"/>
      </rPr>
      <t xml:space="preserve"> investiții în sistemul de alimentare cu apa: max. 1.000 Euro / locuitor; invetiția pentru comuna Sânmihaiu de Câmpie a fost adunată cu investițiile din comuna Budești, Miceștii de Câmpie, Matei, Teaca, localitatea Sângeorzu Nou din Comuna Lechința și localitățile Orosfaia și Comlod din Comuna Milaș.
</t>
    </r>
    <r>
      <rPr>
        <b/>
        <sz val="11"/>
        <color theme="1"/>
        <rFont val="Calibri"/>
        <family val="2"/>
        <scheme val="minor"/>
      </rPr>
      <t>5.</t>
    </r>
    <r>
      <rPr>
        <sz val="11"/>
        <color theme="1"/>
        <rFont val="Calibri"/>
        <family val="2"/>
        <scheme val="minor"/>
      </rPr>
      <t xml:space="preserve"> Comuna Sânmihaiu de Câmpie  este membră ADI - Apă - Canalizare - Bistrița.</t>
    </r>
  </si>
  <si>
    <t>Localitatea Sânmihaiu de Câmpie  este o aglomerare sub 2000 L.E. , motiv pentru care nu au fost propuse investiții în sistemul de canalizare prin fonduri de coeziune.</t>
  </si>
  <si>
    <t>Localitatea Zornei este o aglomerare sub 2000 L.E. , motiv pentru care nu au fost propuse investiții în sistemul de canalizare prin fonduri de coeziune.</t>
  </si>
  <si>
    <t>Localitățile La Curte și Stupeni  sunt aglomerări sub 2000 L.E. , motiv pentru care nu au fost propuse investiții în sistemul de canalizare prin fonduri de coeziune.</t>
  </si>
  <si>
    <r>
      <rPr>
        <b/>
        <sz val="11"/>
        <color theme="1"/>
        <rFont val="Calibri"/>
        <family val="2"/>
        <scheme val="minor"/>
      </rPr>
      <t>1.</t>
    </r>
    <r>
      <rPr>
        <sz val="11"/>
        <color theme="1"/>
        <rFont val="Calibri"/>
        <family val="2"/>
        <scheme val="minor"/>
      </rPr>
      <t xml:space="preserve"> lipsa surselor de apă potabilă din zonă conform cu standardele în vigoare în ceea ce privește calitatea apei potabile;
</t>
    </r>
    <r>
      <rPr>
        <b/>
        <sz val="11"/>
        <color theme="1"/>
        <rFont val="Calibri"/>
        <family val="2"/>
        <scheme val="minor"/>
      </rPr>
      <t>2.</t>
    </r>
    <r>
      <rPr>
        <sz val="11"/>
        <color theme="1"/>
        <rFont val="Calibri"/>
        <family val="2"/>
        <scheme val="minor"/>
      </rPr>
      <t xml:space="preserve"> localități cu peste 50 de locuitori;
</t>
    </r>
    <r>
      <rPr>
        <b/>
        <sz val="11"/>
        <color theme="1"/>
        <rFont val="Calibri"/>
        <family val="2"/>
        <scheme val="minor"/>
      </rPr>
      <t xml:space="preserve">3. </t>
    </r>
    <r>
      <rPr>
        <sz val="11"/>
        <color theme="1"/>
        <rFont val="Calibri"/>
        <family val="2"/>
        <scheme val="minor"/>
      </rPr>
      <t xml:space="preserve">asigurarea gradului de conectare de 100% până în 2015;
</t>
    </r>
    <r>
      <rPr>
        <b/>
        <sz val="11"/>
        <color theme="1"/>
        <rFont val="Calibri"/>
        <family val="2"/>
        <scheme val="minor"/>
      </rPr>
      <t>4.</t>
    </r>
    <r>
      <rPr>
        <sz val="11"/>
        <color theme="1"/>
        <rFont val="Calibri"/>
        <family val="2"/>
        <scheme val="minor"/>
      </rPr>
      <t xml:space="preserve"> investiții în sistemul de alimentare cu apa: max. 1.000 Euro / locuitor; invetiția pentru comuna Matei a fost adunată cu investițiile din comuna Budești, Miceștii de Câmpie, Sânmihaiu de Câmpie, Teaca, localitatea Sângeorzu Nou din Comuna Lechința  și localitățile Orosfaia și Comlod din Comuna Milaș.
</t>
    </r>
    <r>
      <rPr>
        <b/>
        <sz val="11"/>
        <color theme="1"/>
        <rFont val="Calibri"/>
        <family val="2"/>
        <scheme val="minor"/>
      </rPr>
      <t xml:space="preserve">5. </t>
    </r>
    <r>
      <rPr>
        <sz val="11"/>
        <color theme="1"/>
        <rFont val="Calibri"/>
        <family val="2"/>
        <scheme val="minor"/>
      </rPr>
      <t>Comuna Matei  este membră ADI - Apă - Canalizare - Bistrița.</t>
    </r>
  </si>
  <si>
    <t>Localitatea Matei  este o aglomerare sub 2000 L.E. , motiv pentru care nu au fost propuse investiții în sistemul de canalizare prin fonduri de coeziune.</t>
  </si>
  <si>
    <t>Localitatea Corvinești  este o aglomerare sub 2000 L.E. , motiv pentru care nu au fost propuse investiții în sistemul de canalizare prin fonduri de coeziune.</t>
  </si>
  <si>
    <t>Localitatea Moruț  este o aglomerare sub 2000 L.E. , motiv pentru care nu au fost propuse investiții în sistemul de canalizare prin fonduri de coeziune.</t>
  </si>
  <si>
    <t>Localitatea Fântânele  este o aglomerare sub 2000 L.E. , motiv pentru care nu au fost propuse investiții în sistemul de canalizare prin fonduri de coeziune.</t>
  </si>
  <si>
    <t>Localitățile Bidiu și Enciu  sunt aglomerări sub 2000 L.E. , motiv pentru care nu au fost propuse investiții în sistemul de canalizare prin fonduri de coeziune.</t>
  </si>
  <si>
    <r>
      <rPr>
        <b/>
        <sz val="11"/>
        <color theme="1"/>
        <rFont val="Calibri"/>
        <family val="2"/>
        <scheme val="minor"/>
      </rPr>
      <t>1.</t>
    </r>
    <r>
      <rPr>
        <sz val="11"/>
        <color theme="1"/>
        <rFont val="Calibri"/>
        <family val="2"/>
        <scheme val="minor"/>
      </rPr>
      <t xml:space="preserve"> localități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max. 1.000 Euro / locuitor;
</t>
    </r>
    <r>
      <rPr>
        <b/>
        <sz val="11"/>
        <color theme="1"/>
        <rFont val="Calibri"/>
        <family val="2"/>
        <scheme val="minor"/>
      </rPr>
      <t>4.</t>
    </r>
    <r>
      <rPr>
        <sz val="11"/>
        <color theme="1"/>
        <rFont val="Calibri"/>
        <family val="2"/>
        <scheme val="minor"/>
      </rPr>
      <t xml:space="preserve"> Continuare a investiților realizate prin alte surse de finanțare;
</t>
    </r>
    <r>
      <rPr>
        <b/>
        <sz val="11"/>
        <color theme="1"/>
        <rFont val="Calibri"/>
        <family val="2"/>
        <scheme val="minor"/>
      </rPr>
      <t xml:space="preserve">5. </t>
    </r>
    <r>
      <rPr>
        <sz val="11"/>
        <color theme="1"/>
        <rFont val="Calibri"/>
        <family val="2"/>
        <scheme val="minor"/>
      </rPr>
      <t>Comuna Lechința  este membră ADI - Apă - Canalizare - Bistrița.</t>
    </r>
  </si>
  <si>
    <r>
      <rPr>
        <b/>
        <sz val="11"/>
        <color theme="1"/>
        <rFont val="Calibri"/>
        <family val="2"/>
        <scheme val="minor"/>
      </rPr>
      <t>1.</t>
    </r>
    <r>
      <rPr>
        <sz val="11"/>
        <color theme="1"/>
        <rFont val="Calibri"/>
        <family val="2"/>
        <scheme val="minor"/>
      </rPr>
      <t xml:space="preserve"> lipsa surselor de apă potabilă din zonă conform cu standardele în vigoare în ceea ce privește calitatea apei potabile;
</t>
    </r>
    <r>
      <rPr>
        <b/>
        <sz val="11"/>
        <color theme="1"/>
        <rFont val="Calibri"/>
        <family val="2"/>
        <scheme val="minor"/>
      </rPr>
      <t>2.</t>
    </r>
    <r>
      <rPr>
        <sz val="11"/>
        <color theme="1"/>
        <rFont val="Calibri"/>
        <family val="2"/>
        <scheme val="minor"/>
      </rPr>
      <t xml:space="preserve"> localitate cu peste 50 de locuitori;
</t>
    </r>
    <r>
      <rPr>
        <b/>
        <sz val="11"/>
        <color theme="1"/>
        <rFont val="Calibri"/>
        <family val="2"/>
        <scheme val="minor"/>
      </rPr>
      <t>3.</t>
    </r>
    <r>
      <rPr>
        <sz val="11"/>
        <color theme="1"/>
        <rFont val="Calibri"/>
        <family val="2"/>
        <scheme val="minor"/>
      </rPr>
      <t xml:space="preserve"> asigurarea gradului de conectare de 100% până în 2015;
</t>
    </r>
    <r>
      <rPr>
        <b/>
        <sz val="11"/>
        <color theme="1"/>
        <rFont val="Calibri"/>
        <family val="2"/>
        <scheme val="minor"/>
      </rPr>
      <t xml:space="preserve">4. </t>
    </r>
    <r>
      <rPr>
        <sz val="11"/>
        <color theme="1"/>
        <rFont val="Calibri"/>
        <family val="2"/>
        <scheme val="minor"/>
      </rPr>
      <t xml:space="preserve">investiții în sistemul de alimentare cu apa: max. 1.000 Euro / locuitor; invetiția pentru localitatea Sângeorzu Nou a fost adunată cu investițiile din comuna Budești, Miceștii de Câmpie, Sânmihaiu de Câmpie, Teaca Matei  și localitățile Orosfaia și Comlod din Comuna Milaș.
</t>
    </r>
    <r>
      <rPr>
        <b/>
        <sz val="11"/>
        <color theme="1"/>
        <rFont val="Calibri"/>
        <family val="2"/>
        <scheme val="minor"/>
      </rPr>
      <t>5.</t>
    </r>
    <r>
      <rPr>
        <sz val="11"/>
        <color theme="1"/>
        <rFont val="Calibri"/>
        <family val="2"/>
        <scheme val="minor"/>
      </rPr>
      <t xml:space="preserve"> Comuna Lechința  este membră ADI - Apă - Canalizare - Bistrița.</t>
    </r>
  </si>
  <si>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max. 1.000 Euro / locuitor;
</t>
    </r>
    <r>
      <rPr>
        <b/>
        <sz val="11"/>
        <color theme="1"/>
        <rFont val="Calibri"/>
        <family val="2"/>
        <scheme val="minor"/>
      </rPr>
      <t>4.</t>
    </r>
    <r>
      <rPr>
        <sz val="11"/>
        <color theme="1"/>
        <rFont val="Calibri"/>
        <family val="2"/>
        <scheme val="minor"/>
      </rPr>
      <t xml:space="preserve"> Comuna Lechința  este membră ADI - Apă - Canalizare - Bistrița.</t>
    </r>
  </si>
  <si>
    <r>
      <rPr>
        <b/>
        <sz val="11"/>
        <color theme="1"/>
        <rFont val="Calibri"/>
        <family val="2"/>
        <scheme val="minor"/>
      </rPr>
      <t>1.</t>
    </r>
    <r>
      <rPr>
        <sz val="11"/>
        <color theme="1"/>
        <rFont val="Calibri"/>
        <family val="2"/>
        <scheme val="minor"/>
      </rPr>
      <t xml:space="preserve"> În perioada 2007 - 2013  în localitatea Lechința a fost realizată o stație de epurare dimensionată și pentru localitatea Vermeș. Conform soluțiilor și opțiunilor analizate în Master Planul inițial, am propus racordarea localității Vermeș la SE Lechința.
</t>
    </r>
    <r>
      <rPr>
        <b/>
        <sz val="11"/>
        <color theme="1"/>
        <rFont val="Calibri"/>
        <family val="2"/>
        <scheme val="minor"/>
      </rPr>
      <t xml:space="preserve">2. </t>
    </r>
    <r>
      <rPr>
        <sz val="11"/>
        <color theme="1"/>
        <rFont val="Calibri"/>
        <family val="2"/>
        <scheme val="minor"/>
      </rPr>
      <t xml:space="preserve">investitii in sistemul de canalizare-epurare se încadrează în max. 2.000 Euro / locuitor.
</t>
    </r>
    <r>
      <rPr>
        <b/>
        <sz val="11"/>
        <color theme="1"/>
        <rFont val="Calibri"/>
        <family val="2"/>
        <scheme val="minor"/>
      </rPr>
      <t>3.</t>
    </r>
    <r>
      <rPr>
        <sz val="11"/>
        <color theme="1"/>
        <rFont val="Calibri"/>
        <family val="2"/>
        <scheme val="minor"/>
      </rPr>
      <t xml:space="preserve"> existența sistemului de alimentare cu apă în localitatea Vermeș motivează realizarea sistemului de canalizare in vederea reducerii riscurilor pentru sanatatea publică.
</t>
    </r>
    <r>
      <rPr>
        <b/>
        <sz val="11"/>
        <color theme="1"/>
        <rFont val="Calibri"/>
        <family val="2"/>
        <scheme val="minor"/>
      </rPr>
      <t>4.</t>
    </r>
    <r>
      <rPr>
        <sz val="11"/>
        <color theme="1"/>
        <rFont val="Calibri"/>
        <family val="2"/>
        <scheme val="minor"/>
      </rPr>
      <t xml:space="preserve"> din punct de vedere economic este mai fezabilă această soluție decât realizarea unui sistem descentralizat în localitatea Vermeș;
</t>
    </r>
    <r>
      <rPr>
        <b/>
        <sz val="11"/>
        <color theme="1"/>
        <rFont val="Calibri"/>
        <family val="2"/>
        <scheme val="minor"/>
      </rPr>
      <t xml:space="preserve">5. </t>
    </r>
    <r>
      <rPr>
        <sz val="11"/>
        <color theme="1"/>
        <rFont val="Calibri"/>
        <family val="2"/>
        <scheme val="minor"/>
      </rPr>
      <t xml:space="preserve">cele două localități sunt la o distanță de 600 m una față de cealaltă.
</t>
    </r>
    <r>
      <rPr>
        <b/>
        <sz val="11"/>
        <color theme="1"/>
        <rFont val="Calibri"/>
        <family val="2"/>
        <scheme val="minor"/>
      </rPr>
      <t>6.</t>
    </r>
    <r>
      <rPr>
        <sz val="11"/>
        <color theme="1"/>
        <rFont val="Calibri"/>
        <family val="2"/>
        <scheme val="minor"/>
      </rPr>
      <t xml:space="preserve">  Comuna Lechința  este membră ADI - Apă - Canalizare - Bistrița.</t>
    </r>
  </si>
  <si>
    <t>Localitatea Chiraleș  este o aglomerare sub 2000 L.E. , motiv pentru care nu au fost propuse investiții în sistemul de canalizare prin fonduri de coeziune.</t>
  </si>
  <si>
    <t>Localitatea Sâniacob este o aglomerare sub 2000 L.E. , motiv pentru care nu au fost propuse investiții în sistemul de canalizare prin fonduri de coeziune.</t>
  </si>
  <si>
    <t>Localitatea Țigău  este o aglomerare sub 2000 L.E. , motiv pentru care nu au fost propuse investiții în sistemul de canalizare prin fonduri de coeziune.</t>
  </si>
  <si>
    <t>Localitatea Sângeorzu Nou  este o aglomerare sub 2000 L.E. , motiv pentru care nu au fost propuse investiții în sistemul de canalizare prin fonduri de coeziune.</t>
  </si>
  <si>
    <t>Localitatea Bungard  este o aglomerare sub 2000 L.E. , motiv pentru care nu au fost propuse investiții în sistemul de canalizare prin fonduri de coeziune.</t>
  </si>
  <si>
    <r>
      <rPr>
        <b/>
        <sz val="11"/>
        <color theme="1"/>
        <rFont val="Calibri"/>
        <family val="2"/>
        <scheme val="minor"/>
      </rPr>
      <t>1.</t>
    </r>
    <r>
      <rPr>
        <sz val="11"/>
        <color theme="1"/>
        <rFont val="Calibri"/>
        <family val="2"/>
        <scheme val="minor"/>
      </rPr>
      <t xml:space="preserve"> localități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max. 1.000 Euro / locuitor; invetiția pentru Comuna  Teaca a fost adunată cu investițiile din comuna Budești, Miceștii de Câmpie, Sânmihaiu de Câmpie, Matei , localitatea Sângeorzu Nou din Comuna Lechința și localitățile Orosfaia și Comlod din Comuna Milaș.
</t>
    </r>
    <r>
      <rPr>
        <b/>
        <sz val="11"/>
        <color theme="1"/>
        <rFont val="Calibri"/>
        <family val="2"/>
        <scheme val="minor"/>
      </rPr>
      <t xml:space="preserve">4. </t>
    </r>
    <r>
      <rPr>
        <sz val="11"/>
        <color theme="1"/>
        <rFont val="Calibri"/>
        <family val="2"/>
        <scheme val="minor"/>
      </rPr>
      <t>Comuna Teaca  este membră ADI - Apă - Canalizare - Bistrița.</t>
    </r>
  </si>
  <si>
    <t>Localitatea Archiud  este o aglomerare sub 2000 L.E. , motiv pentru care nu au fost propuse investiții în sistemul de canalizare prin fonduri de coeziune.</t>
  </si>
  <si>
    <t>Localitatea Pinticu  este o aglomerare sub 2000 L.E. , motiv pentru care nu au fost propuse investiții în sistemul de canalizare prin fonduri de coeziune.</t>
  </si>
  <si>
    <t>Localitatea Ocnița este o aglomerare sub 2000 L.E. , motiv pentru care nu au fost propuse investiții în sistemul de canalizare prin fonduri de coeziune.</t>
  </si>
  <si>
    <t>Localitatea Budurleni  este o aglomerare sub 2000 L.E. , motiv pentru care nu au fost propuse investiții în sistemul de canalizare prin fonduri de coeziune.</t>
  </si>
  <si>
    <r>
      <rPr>
        <b/>
        <sz val="11"/>
        <color theme="1"/>
        <rFont val="Calibri"/>
        <family val="2"/>
        <scheme val="minor"/>
      </rPr>
      <t>1.</t>
    </r>
    <r>
      <rPr>
        <sz val="11"/>
        <color theme="1"/>
        <rFont val="Calibri"/>
        <family val="2"/>
        <scheme val="minor"/>
      </rPr>
      <t xml:space="preserve"> Debitul sursei de apă pentru localitatea Milaș nu poate asigura și necesarul de apă pentru satul Orosfaia și Comlod, motiv pentru care s-a propus alimentarea cu apă din conducta de aducțiune Bistrița - Lechința.
</t>
    </r>
    <r>
      <rPr>
        <b/>
        <sz val="11"/>
        <color theme="1"/>
        <rFont val="Calibri"/>
        <family val="2"/>
        <scheme val="minor"/>
      </rPr>
      <t>2.</t>
    </r>
    <r>
      <rPr>
        <sz val="11"/>
        <color theme="1"/>
        <rFont val="Calibri"/>
        <family val="2"/>
        <scheme val="minor"/>
      </rPr>
      <t xml:space="preserve"> Localități cu peste 50 de locuitori;
</t>
    </r>
    <r>
      <rPr>
        <b/>
        <sz val="11"/>
        <color theme="1"/>
        <rFont val="Calibri"/>
        <family val="2"/>
        <scheme val="minor"/>
      </rPr>
      <t>3.</t>
    </r>
    <r>
      <rPr>
        <sz val="11"/>
        <color theme="1"/>
        <rFont val="Calibri"/>
        <family val="2"/>
        <scheme val="minor"/>
      </rPr>
      <t xml:space="preserve"> Asigurarea gradului de conectare de 100% până în 2015;
</t>
    </r>
    <r>
      <rPr>
        <b/>
        <sz val="11"/>
        <color theme="1"/>
        <rFont val="Calibri"/>
        <family val="2"/>
        <scheme val="minor"/>
      </rPr>
      <t>4.</t>
    </r>
    <r>
      <rPr>
        <sz val="11"/>
        <color theme="1"/>
        <rFont val="Calibri"/>
        <family val="2"/>
        <scheme val="minor"/>
      </rPr>
      <t xml:space="preserve"> Investiții în sistemul de alimentare cu apa: max. 1.000 Euro / locuitor; invetiția pentru localitățile Orosfaia și Comlod a fost adunată cu investițiile din comuna Budești, Miceștii de Câmpie, Sânmihaiu de Câmpie, Matei , Teaca și localitatea Sângeorzu Nou din Comuna Lechința .
</t>
    </r>
    <r>
      <rPr>
        <b/>
        <sz val="11"/>
        <color theme="1"/>
        <rFont val="Calibri"/>
        <family val="2"/>
        <scheme val="minor"/>
      </rPr>
      <t>5.</t>
    </r>
    <r>
      <rPr>
        <sz val="11"/>
        <color theme="1"/>
        <rFont val="Calibri"/>
        <family val="2"/>
        <scheme val="minor"/>
      </rPr>
      <t xml:space="preserve"> Comuna Milaș  este membră ADI - Apă - Canalizare - Bistrița.</t>
    </r>
  </si>
  <si>
    <t>Localitatea Orosfaia  este o aglomerare sub 2000 L.E. , motiv pentru care nu au fost propuse investiții în sistemul de canalizare prin fonduri de coeziune.</t>
  </si>
  <si>
    <t>Localitatea Comlod  este o aglomerare sub 2000 L.E. , motiv pentru care nu au fost propuse investiții în sistemul de canalizare prin fonduri de coeziune.</t>
  </si>
  <si>
    <r>
      <rPr>
        <b/>
        <sz val="11"/>
        <color theme="1"/>
        <rFont val="Calibri"/>
        <family val="2"/>
        <scheme val="minor"/>
      </rPr>
      <t xml:space="preserve">1. </t>
    </r>
    <r>
      <rPr>
        <sz val="11"/>
        <color theme="1"/>
        <rFont val="Calibri"/>
        <family val="2"/>
        <scheme val="minor"/>
      </rPr>
      <t xml:space="preserve">Localități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max. 1.000 Euro / locuitor; 
</t>
    </r>
    <r>
      <rPr>
        <b/>
        <sz val="11"/>
        <color theme="1"/>
        <rFont val="Calibri"/>
        <family val="2"/>
        <scheme val="minor"/>
      </rPr>
      <t xml:space="preserve">4. </t>
    </r>
    <r>
      <rPr>
        <sz val="11"/>
        <color theme="1"/>
        <rFont val="Calibri"/>
        <family val="2"/>
        <scheme val="minor"/>
      </rPr>
      <t>Comuna Chiochiș este membră ADI - Apă - Canalizare Bistrița.</t>
    </r>
  </si>
  <si>
    <r>
      <rPr>
        <b/>
        <sz val="11"/>
        <color theme="1"/>
        <rFont val="Calibri"/>
        <family val="2"/>
        <scheme val="minor"/>
      </rPr>
      <t>1.</t>
    </r>
    <r>
      <rPr>
        <sz val="11"/>
        <color theme="1"/>
        <rFont val="Calibri"/>
        <family val="2"/>
        <scheme val="minor"/>
      </rPr>
      <t xml:space="preserve"> Localități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 xml:space="preserve">3. </t>
    </r>
    <r>
      <rPr>
        <sz val="11"/>
        <color theme="1"/>
        <rFont val="Calibri"/>
        <family val="2"/>
        <scheme val="minor"/>
      </rPr>
      <t xml:space="preserve">Investiții în sistemul de alimentare cu apa: max. 1.000 Euro / locuitor; 
</t>
    </r>
    <r>
      <rPr>
        <b/>
        <sz val="11"/>
        <color theme="1"/>
        <rFont val="Calibri"/>
        <family val="2"/>
        <scheme val="minor"/>
      </rPr>
      <t>4.</t>
    </r>
    <r>
      <rPr>
        <sz val="11"/>
        <color theme="1"/>
        <rFont val="Calibri"/>
        <family val="2"/>
        <scheme val="minor"/>
      </rPr>
      <t xml:space="preserve"> Comuna Chiochiș este membră ADI - Apă - Canalizare Bistrița.</t>
    </r>
  </si>
  <si>
    <r>
      <rPr>
        <b/>
        <sz val="11"/>
        <color theme="1"/>
        <rFont val="Calibri"/>
        <family val="2"/>
        <scheme val="minor"/>
      </rPr>
      <t>1.</t>
    </r>
    <r>
      <rPr>
        <sz val="11"/>
        <color theme="1"/>
        <rFont val="Calibri"/>
        <family val="2"/>
        <scheme val="minor"/>
      </rPr>
      <t xml:space="preserve"> Localități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max. 1.000 Euro / locuitor; 
</t>
    </r>
    <r>
      <rPr>
        <b/>
        <sz val="11"/>
        <color theme="1"/>
        <rFont val="Calibri"/>
        <family val="2"/>
        <scheme val="minor"/>
      </rPr>
      <t>4.</t>
    </r>
    <r>
      <rPr>
        <sz val="11"/>
        <color theme="1"/>
        <rFont val="Calibri"/>
        <family val="2"/>
        <scheme val="minor"/>
      </rPr>
      <t xml:space="preserve"> Comuna Chiochiș este membră ADI - Apă - Canalizare Bistrița.</t>
    </r>
  </si>
  <si>
    <t>Localitățile Bozieș și Chețiu  sunt aglomerări sub 2000 L.E. , motiv pentru care nu au fost propuse investiții în sistemul de canalizare prin fonduri de coeziune.</t>
  </si>
  <si>
    <t>Localitatea Stugureni  este o aglomerare sub 2000 L.E. , motiv pentru care nu au fost propuse investiții în sistemul de canalizare prin fonduri de coeziune.</t>
  </si>
  <si>
    <t>Soluție individuală de epurare pentru localitatea Apatiu</t>
  </si>
  <si>
    <t>Localitatea Apatiu  este o aglomerare sub 2000 L.E. , motiv pentru care nu au fost propuse investiții în sistemul de canalizare prin fonduri de coeziune.</t>
  </si>
  <si>
    <t>Localitatea Chiochiș  este o aglomerare sub 2000 L.E. , motiv pentru care nu au fost propuse investiții în sistemul de canalizare prin fonduri de coeziune.</t>
  </si>
  <si>
    <t>Localitatea Jimbor  este o aglomerare sub 2000 L.E. , motiv pentru care nu au fost propuse investiții în sistemul de canalizare prin fonduri de coeziune.</t>
  </si>
  <si>
    <t>Localitatea Buza Cătun  este o aglomerare sub 2000 L.E. , motiv pentru care nu au fost propuse investiții în sistemul de canalizare prin fonduri de coeziune.</t>
  </si>
  <si>
    <t>Localitatea Manic  este o aglomerare sub 2000 L.E. , motiv pentru care nu au fost propuse investiții în sistemul de canalizare prin fonduri de coeziune.</t>
  </si>
  <si>
    <t>Localitatea Sânticora  este o aglomerare sub 2000 L.E. , motiv pentru care nu au fost propuse investiții în sistemul de canalizare prin fonduri de coeziune.</t>
  </si>
  <si>
    <t>Localitatea Țentea  este o aglomerare sub 2000 L.E. , motiv pentru care nu au fost propuse investiții în sistemul de canalizare prin fonduri de coeziune.</t>
  </si>
  <si>
    <r>
      <rPr>
        <b/>
        <sz val="11"/>
        <color theme="1"/>
        <rFont val="Calibri"/>
        <family val="2"/>
        <scheme val="minor"/>
      </rPr>
      <t>1.</t>
    </r>
    <r>
      <rPr>
        <sz val="11"/>
        <color theme="1"/>
        <rFont val="Calibri"/>
        <family val="2"/>
        <scheme val="minor"/>
      </rPr>
      <t xml:space="preserve"> Localități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max. 1.000 Euro / locuitor; 
</t>
    </r>
    <r>
      <rPr>
        <b/>
        <sz val="11"/>
        <color theme="1"/>
        <rFont val="Calibri"/>
        <family val="2"/>
        <scheme val="minor"/>
      </rPr>
      <t>4.</t>
    </r>
    <r>
      <rPr>
        <sz val="11"/>
        <color theme="1"/>
        <rFont val="Calibri"/>
        <family val="2"/>
        <scheme val="minor"/>
      </rPr>
      <t xml:space="preserve"> Comuna Mărișelu este membră ADI - Apă - Canalizare Bistrița.</t>
    </r>
  </si>
  <si>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2.</t>
    </r>
    <r>
      <rPr>
        <sz val="11"/>
        <color theme="1"/>
        <rFont val="Calibri"/>
        <family val="2"/>
        <scheme val="minor"/>
      </rPr>
      <t xml:space="preserve">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max. 1.000 Euro / locuitor; 
</t>
    </r>
    <r>
      <rPr>
        <b/>
        <sz val="11"/>
        <color theme="1"/>
        <rFont val="Calibri"/>
        <family val="2"/>
        <scheme val="minor"/>
      </rPr>
      <t>4.</t>
    </r>
    <r>
      <rPr>
        <sz val="11"/>
        <color theme="1"/>
        <rFont val="Calibri"/>
        <family val="2"/>
        <scheme val="minor"/>
      </rPr>
      <t xml:space="preserve"> Comuna Mărișelu este membră ADI - Apă - Canalizare Bistrița.</t>
    </r>
  </si>
  <si>
    <r>
      <rPr>
        <b/>
        <sz val="11"/>
        <color theme="1"/>
        <rFont val="Calibri"/>
        <family val="2"/>
        <scheme val="minor"/>
      </rPr>
      <t>1.</t>
    </r>
    <r>
      <rPr>
        <sz val="11"/>
        <color theme="1"/>
        <rFont val="Calibri"/>
        <family val="2"/>
        <scheme val="minor"/>
      </rPr>
      <t xml:space="preserve"> Localități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 xml:space="preserve">3. </t>
    </r>
    <r>
      <rPr>
        <sz val="11"/>
        <color theme="1"/>
        <rFont val="Calibri"/>
        <family val="2"/>
        <scheme val="minor"/>
      </rPr>
      <t xml:space="preserve">Investiții în sistemul de alimentare cu apa: max. 1.000 Euro / locuitor; 
</t>
    </r>
    <r>
      <rPr>
        <b/>
        <sz val="11"/>
        <color theme="1"/>
        <rFont val="Calibri"/>
        <family val="2"/>
        <scheme val="minor"/>
      </rPr>
      <t>4.</t>
    </r>
    <r>
      <rPr>
        <sz val="11"/>
        <color theme="1"/>
        <rFont val="Calibri"/>
        <family val="2"/>
        <scheme val="minor"/>
      </rPr>
      <t xml:space="preserve"> Comuna Mărișelu este membră ADI - Apă - Canalizare Bistrița.</t>
    </r>
  </si>
  <si>
    <t>Localitatea Mărișelu  este o aglomerare sub 2000 L.E. , motiv pentru care nu au fost propuse investiții în sistemul de canalizare prin fonduri de coeziune.</t>
  </si>
  <si>
    <t>Localitatea Măgurele  este o aglomerare sub 2000 L.E. , motiv pentru care nu au fost propuse investiții în sistemul de canalizare prin fonduri de coeziune.</t>
  </si>
  <si>
    <t>Localitatea Domnești  este o aglomerare sub 2000 L.E. , motiv pentru care nu au fost propuse investiții în sistemul de canalizare prin fonduri de coeziune.</t>
  </si>
  <si>
    <t>Localitățile Bârla și Sântioana  sunt aglomerări sub 2000 L.E. , motiv pentru care nu au fost propuse investiții în sistemul de canalizare prin fonduri de coeziune.</t>
  </si>
  <si>
    <t>Localitatea Jeica  este o aglomerare sub 2000 L.E. , motiv pentru care nu au fost propuse investiții în sistemul de canalizare prin fonduri de coeziune.</t>
  </si>
  <si>
    <t>Localitatea Albeștii Bistriței  este o aglomerare sub 2000 L.E. , motiv pentru care nu au fost propuse investiții în sistemul de canalizare prin fonduri de coeziune.</t>
  </si>
  <si>
    <t>Localitatea Tonciu  este o aglomerare sub 2000 L.E. , motiv pentru care nu au fost propuse investiții în sistemul de canalizare prin fonduri de coeziune.</t>
  </si>
  <si>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 xml:space="preserve">2. </t>
    </r>
    <r>
      <rPr>
        <sz val="11"/>
        <color theme="1"/>
        <rFont val="Calibri"/>
        <family val="2"/>
        <scheme val="minor"/>
      </rPr>
      <t xml:space="preserve">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max. 1.000 Euro / locuitor; 
</t>
    </r>
    <r>
      <rPr>
        <b/>
        <sz val="11"/>
        <color theme="1"/>
        <rFont val="Calibri"/>
        <family val="2"/>
        <scheme val="minor"/>
      </rPr>
      <t xml:space="preserve">4. </t>
    </r>
    <r>
      <rPr>
        <sz val="11"/>
        <color theme="1"/>
        <rFont val="Calibri"/>
        <family val="2"/>
        <scheme val="minor"/>
      </rPr>
      <t>Comuna Tiha - Bârgăului este membră ADI - Apă - Canalizare Bistrița.</t>
    </r>
  </si>
  <si>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2.</t>
    </r>
    <r>
      <rPr>
        <sz val="11"/>
        <color theme="1"/>
        <rFont val="Calibri"/>
        <family val="2"/>
        <scheme val="minor"/>
      </rPr>
      <t xml:space="preserve"> În prezent nu există rețea de distribuție apă potabilă;
</t>
    </r>
    <r>
      <rPr>
        <b/>
        <sz val="11"/>
        <color theme="1"/>
        <rFont val="Calibri"/>
        <family val="2"/>
        <scheme val="minor"/>
      </rPr>
      <t xml:space="preserve">3. </t>
    </r>
    <r>
      <rPr>
        <sz val="11"/>
        <color theme="1"/>
        <rFont val="Calibri"/>
        <family val="2"/>
        <scheme val="minor"/>
      </rPr>
      <t xml:space="preserve">Continuarea lucrărilor ISPA.
</t>
    </r>
    <r>
      <rPr>
        <b/>
        <sz val="11"/>
        <color theme="1"/>
        <rFont val="Calibri"/>
        <family val="2"/>
        <scheme val="minor"/>
      </rPr>
      <t>4.</t>
    </r>
    <r>
      <rPr>
        <sz val="11"/>
        <color theme="1"/>
        <rFont val="Calibri"/>
        <family val="2"/>
        <scheme val="minor"/>
      </rPr>
      <t xml:space="preserve"> Asigurarea gradului de conectare de 100% până în 2015;
</t>
    </r>
    <r>
      <rPr>
        <b/>
        <sz val="11"/>
        <color theme="1"/>
        <rFont val="Calibri"/>
        <family val="2"/>
        <scheme val="minor"/>
      </rPr>
      <t>5.</t>
    </r>
    <r>
      <rPr>
        <sz val="11"/>
        <color theme="1"/>
        <rFont val="Calibri"/>
        <family val="2"/>
        <scheme val="minor"/>
      </rPr>
      <t xml:space="preserve"> Investiții în sistemul de alimentare cu apa: max. 1.000 Euro / locuitor; 
</t>
    </r>
    <r>
      <rPr>
        <b/>
        <sz val="11"/>
        <color theme="1"/>
        <rFont val="Calibri"/>
        <family val="2"/>
        <scheme val="minor"/>
      </rPr>
      <t>6.</t>
    </r>
    <r>
      <rPr>
        <sz val="11"/>
        <color theme="1"/>
        <rFont val="Calibri"/>
        <family val="2"/>
        <scheme val="minor"/>
      </rPr>
      <t xml:space="preserve"> Comuna Tiha - Bârgăului este membră ADI - Apă - Canalizare Bistrița.</t>
    </r>
  </si>
  <si>
    <r>
      <rPr>
        <b/>
        <sz val="11"/>
        <color theme="1"/>
        <rFont val="Calibri"/>
        <family val="2"/>
        <scheme val="minor"/>
      </rPr>
      <t>1.</t>
    </r>
    <r>
      <rPr>
        <sz val="11"/>
        <color theme="1"/>
        <rFont val="Calibri"/>
        <family val="2"/>
        <scheme val="minor"/>
      </rPr>
      <t xml:space="preserve"> Localitățile Tiha Bârgăului, Tureac și Mureșenii Bârgăului fac parte din Aglomerarea Regională Bistrița 
</t>
    </r>
    <r>
      <rPr>
        <b/>
        <sz val="11"/>
        <color theme="1"/>
        <rFont val="Calibri"/>
        <family val="2"/>
        <scheme val="minor"/>
      </rPr>
      <t>2.</t>
    </r>
    <r>
      <rPr>
        <sz val="11"/>
        <color theme="1"/>
        <rFont val="Calibri"/>
        <family val="2"/>
        <scheme val="minor"/>
      </rPr>
      <t xml:space="preserve"> Investițiile în sistemul de canalizare max: 2000 euro/cap locuitor;
</t>
    </r>
    <r>
      <rPr>
        <b/>
        <sz val="11"/>
        <color theme="1"/>
        <rFont val="Calibri"/>
        <family val="2"/>
        <scheme val="minor"/>
      </rPr>
      <t xml:space="preserve">3. </t>
    </r>
    <r>
      <rPr>
        <sz val="11"/>
        <color theme="1"/>
        <rFont val="Calibri"/>
        <family val="2"/>
        <scheme val="minor"/>
      </rPr>
      <t xml:space="preserve">Asigurarea gradului de conectare de 100% pânâ în 2018;
</t>
    </r>
    <r>
      <rPr>
        <b/>
        <sz val="11"/>
        <color theme="1"/>
        <rFont val="Calibri"/>
        <family val="2"/>
        <scheme val="minor"/>
      </rPr>
      <t>4.</t>
    </r>
    <r>
      <rPr>
        <sz val="11"/>
        <color theme="1"/>
        <rFont val="Calibri"/>
        <family val="2"/>
        <scheme val="minor"/>
      </rPr>
      <t xml:space="preserve"> Continuarea lucrărilor ISPA
</t>
    </r>
    <r>
      <rPr>
        <b/>
        <sz val="11"/>
        <color theme="1"/>
        <rFont val="Calibri"/>
        <family val="2"/>
        <scheme val="minor"/>
      </rPr>
      <t>5.</t>
    </r>
    <r>
      <rPr>
        <sz val="11"/>
        <color theme="1"/>
        <rFont val="Calibri"/>
        <family val="2"/>
        <scheme val="minor"/>
      </rPr>
      <t xml:space="preserve"> Comuna Tiha - Bârgăului este membră ADI - Apă - Canalizare Bistrița.</t>
    </r>
  </si>
  <si>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 xml:space="preserve">2. </t>
    </r>
    <r>
      <rPr>
        <sz val="11"/>
        <color theme="1"/>
        <rFont val="Calibri"/>
        <family val="2"/>
        <scheme val="minor"/>
      </rPr>
      <t xml:space="preserve">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max. 1.000 Euro / locuitor; 
</t>
    </r>
    <r>
      <rPr>
        <b/>
        <sz val="11"/>
        <color theme="1"/>
        <rFont val="Calibri"/>
        <family val="2"/>
        <scheme val="minor"/>
      </rPr>
      <t>4.</t>
    </r>
    <r>
      <rPr>
        <sz val="11"/>
        <color theme="1"/>
        <rFont val="Calibri"/>
        <family val="2"/>
        <scheme val="minor"/>
      </rPr>
      <t xml:space="preserve"> Comuna Josenii - Bârgăului este membră ADI - Apă - Canalizare Bistrița.</t>
    </r>
  </si>
  <si>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max. 1.000 Euro / locuitor; 
</t>
    </r>
    <r>
      <rPr>
        <b/>
        <sz val="11"/>
        <color theme="1"/>
        <rFont val="Calibri"/>
        <family val="2"/>
        <scheme val="minor"/>
      </rPr>
      <t>4.</t>
    </r>
    <r>
      <rPr>
        <sz val="11"/>
        <color theme="1"/>
        <rFont val="Calibri"/>
        <family val="2"/>
        <scheme val="minor"/>
      </rPr>
      <t xml:space="preserve"> Comuna Josenii - Bârgăului este membră ADI - Apă - Canalizare Bistrița.</t>
    </r>
  </si>
  <si>
    <r>
      <rPr>
        <b/>
        <sz val="11"/>
        <color theme="1"/>
        <rFont val="Calibri"/>
        <family val="2"/>
        <scheme val="minor"/>
      </rPr>
      <t xml:space="preserve">1. </t>
    </r>
    <r>
      <rPr>
        <sz val="11"/>
        <color theme="1"/>
        <rFont val="Calibri"/>
        <family val="2"/>
        <scheme val="minor"/>
      </rPr>
      <t xml:space="preserve">Localitățile Mijlocenii Bârgăului, Josenii Bârgăului, Rusu Bârgăului și Strâmba fac parte din Aglomerarea Regională Bistrița.
</t>
    </r>
    <r>
      <rPr>
        <b/>
        <sz val="11"/>
        <color theme="1"/>
        <rFont val="Calibri"/>
        <family val="2"/>
        <scheme val="minor"/>
      </rPr>
      <t>2.</t>
    </r>
    <r>
      <rPr>
        <sz val="11"/>
        <color theme="1"/>
        <rFont val="Calibri"/>
        <family val="2"/>
        <scheme val="minor"/>
      </rPr>
      <t xml:space="preserve"> Investițiile în sistemul de canalizare max: 2000 euro/cap locuitor;
</t>
    </r>
    <r>
      <rPr>
        <b/>
        <sz val="11"/>
        <color theme="1"/>
        <rFont val="Calibri"/>
        <family val="2"/>
        <scheme val="minor"/>
      </rPr>
      <t xml:space="preserve">3. </t>
    </r>
    <r>
      <rPr>
        <sz val="11"/>
        <color theme="1"/>
        <rFont val="Calibri"/>
        <family val="2"/>
        <scheme val="minor"/>
      </rPr>
      <t xml:space="preserve">Asigurarea gradului de conectare de 100% pânâ în 2018;
</t>
    </r>
    <r>
      <rPr>
        <b/>
        <sz val="11"/>
        <color theme="1"/>
        <rFont val="Calibri"/>
        <family val="2"/>
        <scheme val="minor"/>
      </rPr>
      <t>4.</t>
    </r>
    <r>
      <rPr>
        <sz val="11"/>
        <color theme="1"/>
        <rFont val="Calibri"/>
        <family val="2"/>
        <scheme val="minor"/>
      </rPr>
      <t xml:space="preserve"> Continuarea lucrărilor ISPA
</t>
    </r>
    <r>
      <rPr>
        <b/>
        <sz val="11"/>
        <color theme="1"/>
        <rFont val="Calibri"/>
        <family val="2"/>
        <scheme val="minor"/>
      </rPr>
      <t>5.</t>
    </r>
    <r>
      <rPr>
        <sz val="11"/>
        <color theme="1"/>
        <rFont val="Calibri"/>
        <family val="2"/>
        <scheme val="minor"/>
      </rPr>
      <t xml:space="preserve"> Comuna Josenii - Bârgăului este membră ADI - Apă - Canalizare Bistrița.</t>
    </r>
  </si>
  <si>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max.. 1.000 Euro / locuitor; 
</t>
    </r>
    <r>
      <rPr>
        <b/>
        <sz val="11"/>
        <color theme="1"/>
        <rFont val="Calibri"/>
        <family val="2"/>
        <scheme val="minor"/>
      </rPr>
      <t>4.</t>
    </r>
    <r>
      <rPr>
        <sz val="11"/>
        <color theme="1"/>
        <rFont val="Calibri"/>
        <family val="2"/>
        <scheme val="minor"/>
      </rPr>
      <t xml:space="preserve"> Comuna Livezile este membră ADI - Apă - Canalizare Bistrița.</t>
    </r>
  </si>
  <si>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 xml:space="preserve">3. </t>
    </r>
    <r>
      <rPr>
        <sz val="11"/>
        <color theme="1"/>
        <rFont val="Calibri"/>
        <family val="2"/>
        <scheme val="minor"/>
      </rPr>
      <t xml:space="preserve">Investiții în sistemul de alimentare cu apa: max.. 1.000 Euro / locuitor; 
</t>
    </r>
    <r>
      <rPr>
        <b/>
        <sz val="11"/>
        <color theme="1"/>
        <rFont val="Calibri"/>
        <family val="2"/>
        <scheme val="minor"/>
      </rPr>
      <t>4.</t>
    </r>
    <r>
      <rPr>
        <sz val="11"/>
        <color theme="1"/>
        <rFont val="Calibri"/>
        <family val="2"/>
        <scheme val="minor"/>
      </rPr>
      <t xml:space="preserve"> Comuna Livezile este membră ADI - Apă - Canalizare Bistrița.</t>
    </r>
  </si>
  <si>
    <r>
      <rPr>
        <b/>
        <sz val="11"/>
        <color theme="1"/>
        <rFont val="Calibri"/>
        <family val="2"/>
        <scheme val="minor"/>
      </rPr>
      <t>1.</t>
    </r>
    <r>
      <rPr>
        <sz val="11"/>
        <color theme="1"/>
        <rFont val="Calibri"/>
        <family val="2"/>
        <scheme val="minor"/>
      </rPr>
      <t xml:space="preserve"> Asigurarea gradului de conectare de 100% până în 2015;
</t>
    </r>
    <r>
      <rPr>
        <b/>
        <sz val="11"/>
        <color theme="1"/>
        <rFont val="Calibri"/>
        <family val="2"/>
        <scheme val="minor"/>
      </rPr>
      <t xml:space="preserve">2. </t>
    </r>
    <r>
      <rPr>
        <sz val="11"/>
        <color theme="1"/>
        <rFont val="Calibri"/>
        <family val="2"/>
        <scheme val="minor"/>
      </rPr>
      <t xml:space="preserve">Investiții în sistemul de alimentare cu apa: max. 1.000 Euro / locuitor; 
</t>
    </r>
    <r>
      <rPr>
        <b/>
        <sz val="11"/>
        <color theme="1"/>
        <rFont val="Calibri"/>
        <family val="2"/>
        <scheme val="minor"/>
      </rPr>
      <t>3.</t>
    </r>
    <r>
      <rPr>
        <sz val="11"/>
        <color theme="1"/>
        <rFont val="Calibri"/>
        <family val="2"/>
        <scheme val="minor"/>
      </rPr>
      <t xml:space="preserve"> Municipiul Bistrița este membru ADI - Apă - Canalizare Bistrița.</t>
    </r>
  </si>
  <si>
    <r>
      <rPr>
        <b/>
        <sz val="11"/>
        <color theme="1"/>
        <rFont val="Calibri"/>
        <family val="2"/>
        <scheme val="minor"/>
      </rPr>
      <t xml:space="preserve">1. </t>
    </r>
    <r>
      <rPr>
        <sz val="11"/>
        <color theme="1"/>
        <rFont val="Calibri"/>
        <family val="2"/>
        <scheme val="minor"/>
      </rPr>
      <t xml:space="preserve">Municipiul Bistrița face parte din Aglomerarea Regională Bistrița; 
</t>
    </r>
    <r>
      <rPr>
        <b/>
        <sz val="11"/>
        <color theme="1"/>
        <rFont val="Calibri"/>
        <family val="2"/>
        <scheme val="minor"/>
      </rPr>
      <t>2.</t>
    </r>
    <r>
      <rPr>
        <sz val="11"/>
        <color theme="1"/>
        <rFont val="Calibri"/>
        <family val="2"/>
        <scheme val="minor"/>
      </rPr>
      <t xml:space="preserve"> Investițiile în sistemul de canalizare max: 2000 euro/cap locuitor;
</t>
    </r>
    <r>
      <rPr>
        <b/>
        <sz val="11"/>
        <color theme="1"/>
        <rFont val="Calibri"/>
        <family val="2"/>
        <scheme val="minor"/>
      </rPr>
      <t>3.</t>
    </r>
    <r>
      <rPr>
        <sz val="11"/>
        <color theme="1"/>
        <rFont val="Calibri"/>
        <family val="2"/>
        <scheme val="minor"/>
      </rPr>
      <t xml:space="preserve"> Asigurarea gradului de conectare de 100% pânâ în 2018;
</t>
    </r>
    <r>
      <rPr>
        <b/>
        <sz val="11"/>
        <color theme="1"/>
        <rFont val="Calibri"/>
        <family val="2"/>
        <scheme val="minor"/>
      </rPr>
      <t>4.</t>
    </r>
    <r>
      <rPr>
        <sz val="11"/>
        <color theme="1"/>
        <rFont val="Calibri"/>
        <family val="2"/>
        <scheme val="minor"/>
      </rPr>
      <t xml:space="preserve">Municipiul Bistrița este membru ADI - Apă - Canalizare Bistrița.
</t>
    </r>
  </si>
  <si>
    <r>
      <rPr>
        <b/>
        <sz val="11"/>
        <color theme="1"/>
        <rFont val="Calibri"/>
        <family val="2"/>
        <scheme val="minor"/>
      </rPr>
      <t>1.</t>
    </r>
    <r>
      <rPr>
        <sz val="11"/>
        <color theme="1"/>
        <rFont val="Calibri"/>
        <family val="2"/>
        <scheme val="minor"/>
      </rPr>
      <t xml:space="preserve"> În prezent, în localitatea Șoimuș nu există sistem de alimentare cu apă centralizat; 
</t>
    </r>
    <r>
      <rPr>
        <b/>
        <sz val="11"/>
        <color theme="1"/>
        <rFont val="Calibri"/>
        <family val="2"/>
        <scheme val="minor"/>
      </rPr>
      <t>2.</t>
    </r>
    <r>
      <rPr>
        <sz val="11"/>
        <color theme="1"/>
        <rFont val="Calibri"/>
        <family val="2"/>
        <scheme val="minor"/>
      </rPr>
      <t xml:space="preserve"> Localitate cu peste 50 de locuitori;
</t>
    </r>
    <r>
      <rPr>
        <b/>
        <sz val="11"/>
        <color theme="1"/>
        <rFont val="Calibri"/>
        <family val="2"/>
        <scheme val="minor"/>
      </rPr>
      <t>3.</t>
    </r>
    <r>
      <rPr>
        <sz val="11"/>
        <color theme="1"/>
        <rFont val="Calibri"/>
        <family val="2"/>
        <scheme val="minor"/>
      </rPr>
      <t xml:space="preserve"> Asigurarea gradului de conectare de 100% până în 2015;
</t>
    </r>
    <r>
      <rPr>
        <b/>
        <sz val="11"/>
        <color theme="1"/>
        <rFont val="Calibri"/>
        <family val="2"/>
        <scheme val="minor"/>
      </rPr>
      <t>4.</t>
    </r>
    <r>
      <rPr>
        <sz val="11"/>
        <color theme="1"/>
        <rFont val="Calibri"/>
        <family val="2"/>
        <scheme val="minor"/>
      </rPr>
      <t xml:space="preserve"> Investiții în sistemul de alimentare cu apa: aprox.. 1.000 Euro / locuitor; 
</t>
    </r>
    <r>
      <rPr>
        <b/>
        <sz val="11"/>
        <color theme="1"/>
        <rFont val="Calibri"/>
        <family val="2"/>
        <scheme val="minor"/>
      </rPr>
      <t>5.</t>
    </r>
    <r>
      <rPr>
        <sz val="11"/>
        <color theme="1"/>
        <rFont val="Calibri"/>
        <family val="2"/>
        <scheme val="minor"/>
      </rPr>
      <t>Comuna Șieu este membră ADI - Apă - Canalizare Bistrița.</t>
    </r>
  </si>
  <si>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 1.000 Euro / locuitor; 
</t>
    </r>
    <r>
      <rPr>
        <b/>
        <sz val="11"/>
        <color theme="1"/>
        <rFont val="Calibri"/>
        <family val="2"/>
        <scheme val="minor"/>
      </rPr>
      <t xml:space="preserve">4. </t>
    </r>
    <r>
      <rPr>
        <sz val="11"/>
        <color theme="1"/>
        <rFont val="Calibri"/>
        <family val="2"/>
        <scheme val="minor"/>
      </rPr>
      <t xml:space="preserve">Comuna Șieu este membră ADI - Apă - Canalizare Bistrița.
</t>
    </r>
    <r>
      <rPr>
        <b/>
        <sz val="11"/>
        <color theme="1"/>
        <rFont val="Calibri"/>
        <family val="2"/>
        <scheme val="minor"/>
      </rPr>
      <t>5.</t>
    </r>
    <r>
      <rPr>
        <sz val="11"/>
        <color theme="1"/>
        <rFont val="Calibri"/>
        <family val="2"/>
        <scheme val="minor"/>
      </rPr>
      <t xml:space="preserve"> În localitatea Șieu a fost realizată pe Măsura 322 o stație de tratare care poate asigura debitul pentru 3 localități: Șieu, Ardan și Posmuș.</t>
    </r>
  </si>
  <si>
    <r>
      <rPr>
        <b/>
        <sz val="11"/>
        <color theme="1"/>
        <rFont val="Calibri"/>
        <family val="2"/>
        <scheme val="minor"/>
      </rPr>
      <t>1.</t>
    </r>
    <r>
      <rPr>
        <sz val="11"/>
        <color theme="1"/>
        <rFont val="Calibri"/>
        <family val="2"/>
        <scheme val="minor"/>
      </rPr>
      <t xml:space="preserve"> Asigurarea gradului de conectare de 100% până în 2015;
</t>
    </r>
    <r>
      <rPr>
        <b/>
        <sz val="11"/>
        <color theme="1"/>
        <rFont val="Calibri"/>
        <family val="2"/>
        <scheme val="minor"/>
      </rPr>
      <t>2.</t>
    </r>
    <r>
      <rPr>
        <sz val="11"/>
        <color theme="1"/>
        <rFont val="Calibri"/>
        <family val="2"/>
        <scheme val="minor"/>
      </rPr>
      <t xml:space="preserve"> Investiții  în sistemul de alimentare cu apa: aprox.. 1.000 Euro / locuitor; 
</t>
    </r>
    <r>
      <rPr>
        <b/>
        <sz val="11"/>
        <color theme="1"/>
        <rFont val="Calibri"/>
        <family val="2"/>
        <scheme val="minor"/>
      </rPr>
      <t>3.</t>
    </r>
    <r>
      <rPr>
        <sz val="11"/>
        <color theme="1"/>
        <rFont val="Calibri"/>
        <family val="2"/>
        <scheme val="minor"/>
      </rPr>
      <t>Comuna Șieu este membră ADI - Apă - Canalizare Bistrița.</t>
    </r>
  </si>
  <si>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 1.000 Euro / locuitor; 
</t>
    </r>
    <r>
      <rPr>
        <b/>
        <sz val="11"/>
        <color theme="1"/>
        <rFont val="Calibri"/>
        <family val="2"/>
        <scheme val="minor"/>
      </rPr>
      <t>4.</t>
    </r>
    <r>
      <rPr>
        <sz val="11"/>
        <color theme="1"/>
        <rFont val="Calibri"/>
        <family val="2"/>
        <scheme val="minor"/>
      </rPr>
      <t xml:space="preserve"> Comuna Maieru este membră ADI - Apă - Canalizare Bistrița.
</t>
    </r>
    <r>
      <rPr>
        <b/>
        <sz val="11"/>
        <color theme="1"/>
        <rFont val="Calibri"/>
        <family val="2"/>
        <scheme val="minor"/>
      </rPr>
      <t>5.</t>
    </r>
    <r>
      <rPr>
        <sz val="11"/>
        <color theme="1"/>
        <rFont val="Calibri"/>
        <family val="2"/>
        <scheme val="minor"/>
      </rPr>
      <t xml:space="preserve"> Continuare a investiților realizate prin POS Mediu I;</t>
    </r>
  </si>
  <si>
    <r>
      <rPr>
        <b/>
        <sz val="11"/>
        <color theme="1"/>
        <rFont val="Calibri"/>
        <family val="2"/>
        <scheme val="minor"/>
      </rPr>
      <t>1.</t>
    </r>
    <r>
      <rPr>
        <sz val="11"/>
        <color theme="1"/>
        <rFont val="Calibri"/>
        <family val="2"/>
        <scheme val="minor"/>
      </rPr>
      <t xml:space="preserve"> Comuna Maieru face parte din  Aglomerarea Regională Sângeorz - Băi;
</t>
    </r>
    <r>
      <rPr>
        <b/>
        <sz val="11"/>
        <color theme="1"/>
        <rFont val="Calibri"/>
        <family val="2"/>
        <scheme val="minor"/>
      </rPr>
      <t xml:space="preserve">2. </t>
    </r>
    <r>
      <rPr>
        <sz val="11"/>
        <color theme="1"/>
        <rFont val="Calibri"/>
        <family val="2"/>
        <scheme val="minor"/>
      </rPr>
      <t xml:space="preserve">Investițiile în sistemul de canalizare max: 2000 euro/cap locuitor;
</t>
    </r>
    <r>
      <rPr>
        <b/>
        <sz val="11"/>
        <color theme="1"/>
        <rFont val="Calibri"/>
        <family val="2"/>
        <scheme val="minor"/>
      </rPr>
      <t>3.</t>
    </r>
    <r>
      <rPr>
        <sz val="11"/>
        <color theme="1"/>
        <rFont val="Calibri"/>
        <family val="2"/>
        <scheme val="minor"/>
      </rPr>
      <t xml:space="preserve"> Asigurarea gradului de conectare de 100% pânâ în 2018;
</t>
    </r>
    <r>
      <rPr>
        <b/>
        <sz val="11"/>
        <color theme="1"/>
        <rFont val="Calibri"/>
        <family val="2"/>
        <scheme val="minor"/>
      </rPr>
      <t>4</t>
    </r>
    <r>
      <rPr>
        <sz val="11"/>
        <color theme="1"/>
        <rFont val="Calibri"/>
        <family val="2"/>
        <scheme val="minor"/>
      </rPr>
      <t xml:space="preserve">. Comuna Maieru este membră ADI - Apă - Canalizare Bistrița.
</t>
    </r>
    <r>
      <rPr>
        <b/>
        <sz val="11"/>
        <color theme="1"/>
        <rFont val="Calibri"/>
        <family val="2"/>
        <scheme val="minor"/>
      </rPr>
      <t>5.</t>
    </r>
    <r>
      <rPr>
        <sz val="11"/>
        <color theme="1"/>
        <rFont val="Calibri"/>
        <family val="2"/>
        <scheme val="minor"/>
      </rPr>
      <t xml:space="preserve"> Continuare a investiților realizate prin POS Mediu I;</t>
    </r>
  </si>
  <si>
    <r>
      <rPr>
        <b/>
        <sz val="11"/>
        <color theme="1"/>
        <rFont val="Calibri"/>
        <family val="2"/>
        <scheme val="minor"/>
      </rPr>
      <t>1.</t>
    </r>
    <r>
      <rPr>
        <sz val="11"/>
        <color theme="1"/>
        <rFont val="Calibri"/>
        <family val="2"/>
        <scheme val="minor"/>
      </rPr>
      <t xml:space="preserve"> Asigurarea gradului de conectare de 100% până în 2015;
</t>
    </r>
    <r>
      <rPr>
        <b/>
        <sz val="11"/>
        <color theme="1"/>
        <rFont val="Calibri"/>
        <family val="2"/>
        <scheme val="minor"/>
      </rPr>
      <t>2.</t>
    </r>
    <r>
      <rPr>
        <sz val="11"/>
        <color theme="1"/>
        <rFont val="Calibri"/>
        <family val="2"/>
        <scheme val="minor"/>
      </rPr>
      <t xml:space="preserve"> Continuare a investiților realizate prin POS Mediu I;</t>
    </r>
  </si>
  <si>
    <r>
      <rPr>
        <b/>
        <sz val="11"/>
        <color theme="1"/>
        <rFont val="Calibri"/>
        <family val="2"/>
        <scheme val="minor"/>
      </rPr>
      <t>1.</t>
    </r>
    <r>
      <rPr>
        <sz val="11"/>
        <color theme="1"/>
        <rFont val="Calibri"/>
        <family val="2"/>
        <scheme val="minor"/>
      </rPr>
      <t xml:space="preserve"> Localitatea Cormaia face parte din  Aglomerarea Regională  Sângeorz - Băi; este o localitate componentă a Orașul Sângeorz - Băi;
</t>
    </r>
    <r>
      <rPr>
        <b/>
        <sz val="11"/>
        <color theme="1"/>
        <rFont val="Calibri"/>
        <family val="2"/>
        <scheme val="minor"/>
      </rPr>
      <t>2.</t>
    </r>
    <r>
      <rPr>
        <sz val="11"/>
        <color theme="1"/>
        <rFont val="Calibri"/>
        <family val="2"/>
        <scheme val="minor"/>
      </rPr>
      <t xml:space="preserve"> Investițiile în sistemul de canalizare max: 2000 euro/cap locuitor;
</t>
    </r>
    <r>
      <rPr>
        <b/>
        <sz val="11"/>
        <color theme="1"/>
        <rFont val="Calibri"/>
        <family val="2"/>
        <scheme val="minor"/>
      </rPr>
      <t>3.</t>
    </r>
    <r>
      <rPr>
        <sz val="11"/>
        <color theme="1"/>
        <rFont val="Calibri"/>
        <family val="2"/>
        <scheme val="minor"/>
      </rPr>
      <t xml:space="preserve">Asigurarea gradului de conectare de 100% pânâ în 2018;
</t>
    </r>
    <r>
      <rPr>
        <b/>
        <sz val="11"/>
        <color theme="1"/>
        <rFont val="Calibri"/>
        <family val="2"/>
        <scheme val="minor"/>
      </rPr>
      <t>4.</t>
    </r>
    <r>
      <rPr>
        <sz val="11"/>
        <color theme="1"/>
        <rFont val="Calibri"/>
        <family val="2"/>
        <scheme val="minor"/>
      </rPr>
      <t>Orașul Sângeorz - Băi este membru ADI - Apă - Canalizare Bistrița.</t>
    </r>
  </si>
  <si>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 1.000 Euro / locuitor; 
</t>
    </r>
    <r>
      <rPr>
        <b/>
        <sz val="11"/>
        <color theme="1"/>
        <rFont val="Calibri"/>
        <family val="2"/>
        <scheme val="minor"/>
      </rPr>
      <t>4.</t>
    </r>
    <r>
      <rPr>
        <sz val="11"/>
        <color theme="1"/>
        <rFont val="Calibri"/>
        <family val="2"/>
        <scheme val="minor"/>
      </rPr>
      <t xml:space="preserve">Comuna Poiana Ilvei este membră ADI - Apă - Canalizare Bistrița.
</t>
    </r>
    <r>
      <rPr>
        <b/>
        <sz val="11"/>
        <color theme="1"/>
        <rFont val="Calibri"/>
        <family val="2"/>
        <scheme val="minor"/>
      </rPr>
      <t xml:space="preserve">5. </t>
    </r>
    <r>
      <rPr>
        <sz val="11"/>
        <color theme="1"/>
        <rFont val="Calibri"/>
        <family val="2"/>
        <scheme val="minor"/>
      </rPr>
      <t>Continuare a investiților realizate prin alte surse de  finanțare;</t>
    </r>
  </si>
  <si>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 1.000 Euro / locuitor; 
</t>
    </r>
    <r>
      <rPr>
        <b/>
        <sz val="11"/>
        <color theme="1"/>
        <rFont val="Calibri"/>
        <family val="2"/>
        <scheme val="minor"/>
      </rPr>
      <t>4.</t>
    </r>
    <r>
      <rPr>
        <sz val="11"/>
        <color theme="1"/>
        <rFont val="Calibri"/>
        <family val="2"/>
        <scheme val="minor"/>
      </rPr>
      <t xml:space="preserve">Comuna Ilva Mică este membră ADI - Apă - Canalizare Bistrița.
</t>
    </r>
    <r>
      <rPr>
        <b/>
        <sz val="11"/>
        <color theme="1"/>
        <rFont val="Calibri"/>
        <family val="2"/>
        <scheme val="minor"/>
      </rPr>
      <t>5.</t>
    </r>
    <r>
      <rPr>
        <sz val="11"/>
        <color theme="1"/>
        <rFont val="Calibri"/>
        <family val="2"/>
        <scheme val="minor"/>
      </rPr>
      <t xml:space="preserve"> Continuare a investiților realizate prin alte surse de  finanțare;</t>
    </r>
  </si>
  <si>
    <r>
      <rPr>
        <b/>
        <sz val="11"/>
        <color theme="1"/>
        <rFont val="Calibri"/>
        <family val="2"/>
        <scheme val="minor"/>
      </rPr>
      <t>1.</t>
    </r>
    <r>
      <rPr>
        <sz val="11"/>
        <color theme="1"/>
        <rFont val="Calibri"/>
        <family val="2"/>
        <scheme val="minor"/>
      </rPr>
      <t xml:space="preserve"> Aglomerare peste 2000 L.E.
</t>
    </r>
    <r>
      <rPr>
        <b/>
        <sz val="11"/>
        <color theme="1"/>
        <rFont val="Calibri"/>
        <family val="2"/>
        <scheme val="minor"/>
      </rPr>
      <t>2.</t>
    </r>
    <r>
      <rPr>
        <sz val="11"/>
        <color theme="1"/>
        <rFont val="Calibri"/>
        <family val="2"/>
        <scheme val="minor"/>
      </rPr>
      <t xml:space="preserve"> Investițiile în sistemul de canalizare max: 2000 euro/cap locuitor;
</t>
    </r>
    <r>
      <rPr>
        <b/>
        <sz val="11"/>
        <color theme="1"/>
        <rFont val="Calibri"/>
        <family val="2"/>
        <scheme val="minor"/>
      </rPr>
      <t>3.</t>
    </r>
    <r>
      <rPr>
        <sz val="11"/>
        <color theme="1"/>
        <rFont val="Calibri"/>
        <family val="2"/>
        <scheme val="minor"/>
      </rPr>
      <t xml:space="preserve">Asigurarea gradului de conectare de 100% pânâ în 2018;
</t>
    </r>
    <r>
      <rPr>
        <b/>
        <sz val="11"/>
        <color theme="1"/>
        <rFont val="Calibri"/>
        <family val="2"/>
        <scheme val="minor"/>
      </rPr>
      <t>4.</t>
    </r>
    <r>
      <rPr>
        <sz val="11"/>
        <color theme="1"/>
        <rFont val="Calibri"/>
        <family val="2"/>
        <scheme val="minor"/>
      </rPr>
      <t xml:space="preserve">Comuna Ilva Mică este membră ADI - Apă - Canalizare Bistrița;
</t>
    </r>
    <r>
      <rPr>
        <b/>
        <sz val="11"/>
        <color theme="1"/>
        <rFont val="Calibri"/>
        <family val="2"/>
        <scheme val="minor"/>
      </rPr>
      <t>5.</t>
    </r>
    <r>
      <rPr>
        <sz val="11"/>
        <color theme="1"/>
        <rFont val="Calibri"/>
        <family val="2"/>
        <scheme val="minor"/>
      </rPr>
      <t xml:space="preserve"> Continuare a investiților realizate prin alte surse de  finanțare;</t>
    </r>
  </si>
  <si>
    <r>
      <rPr>
        <b/>
        <sz val="11"/>
        <color theme="1"/>
        <rFont val="Calibri"/>
        <family val="2"/>
        <scheme val="minor"/>
      </rPr>
      <t>1.</t>
    </r>
    <r>
      <rPr>
        <sz val="11"/>
        <color theme="1"/>
        <rFont val="Calibri"/>
        <family val="2"/>
        <scheme val="minor"/>
      </rPr>
      <t xml:space="preserve"> Localități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 1.000 Euro / locuitor; 
</t>
    </r>
    <r>
      <rPr>
        <b/>
        <sz val="11"/>
        <color theme="1"/>
        <rFont val="Calibri"/>
        <family val="2"/>
        <scheme val="minor"/>
      </rPr>
      <t xml:space="preserve">4. </t>
    </r>
    <r>
      <rPr>
        <sz val="11"/>
        <color theme="1"/>
        <rFont val="Calibri"/>
        <family val="2"/>
        <scheme val="minor"/>
      </rPr>
      <t xml:space="preserve">Comuna Petru Rareș este membră ADI - Apă - Canalizare Bistrița.
</t>
    </r>
    <r>
      <rPr>
        <b/>
        <sz val="11"/>
        <color theme="1"/>
        <rFont val="Calibri"/>
        <family val="2"/>
        <scheme val="minor"/>
      </rPr>
      <t>5.</t>
    </r>
    <r>
      <rPr>
        <sz val="11"/>
        <color theme="1"/>
        <rFont val="Calibri"/>
        <family val="2"/>
        <scheme val="minor"/>
      </rPr>
      <t xml:space="preserve"> Continuare a investițiilor realizate prin POS Mediu 1.
</t>
    </r>
  </si>
  <si>
    <r>
      <rPr>
        <b/>
        <sz val="11"/>
        <color theme="1"/>
        <rFont val="Calibri"/>
        <family val="2"/>
        <scheme val="minor"/>
      </rPr>
      <t>1.</t>
    </r>
    <r>
      <rPr>
        <sz val="11"/>
        <color theme="1"/>
        <rFont val="Calibri"/>
        <family val="2"/>
        <scheme val="minor"/>
      </rPr>
      <t xml:space="preserve"> Comuna Petru Rereș face parte din Aglomerarea Regională Beclean;
</t>
    </r>
    <r>
      <rPr>
        <b/>
        <sz val="11"/>
        <color theme="1"/>
        <rFont val="Calibri"/>
        <family val="2"/>
        <scheme val="minor"/>
      </rPr>
      <t>2.</t>
    </r>
    <r>
      <rPr>
        <sz val="11"/>
        <color theme="1"/>
        <rFont val="Calibri"/>
        <family val="2"/>
        <scheme val="minor"/>
      </rPr>
      <t xml:space="preserve"> Investițiile în sistemul de canalizare max: 2000 euro/cap locuitor;
</t>
    </r>
    <r>
      <rPr>
        <b/>
        <sz val="11"/>
        <color theme="1"/>
        <rFont val="Calibri"/>
        <family val="2"/>
        <scheme val="minor"/>
      </rPr>
      <t>3.</t>
    </r>
    <r>
      <rPr>
        <sz val="11"/>
        <color theme="1"/>
        <rFont val="Calibri"/>
        <family val="2"/>
        <scheme val="minor"/>
      </rPr>
      <t xml:space="preserve"> Asigurarea gradului de conectare de 100% pânâ în 2018;
</t>
    </r>
    <r>
      <rPr>
        <b/>
        <sz val="11"/>
        <color theme="1"/>
        <rFont val="Calibri"/>
        <family val="2"/>
        <scheme val="minor"/>
      </rPr>
      <t>4.</t>
    </r>
    <r>
      <rPr>
        <sz val="11"/>
        <color theme="1"/>
        <rFont val="Calibri"/>
        <family val="2"/>
        <scheme val="minor"/>
      </rPr>
      <t xml:space="preserve"> Comuna Petru Rereș este membră ADI - Apă - Canalizare Bistrița.
</t>
    </r>
    <r>
      <rPr>
        <b/>
        <sz val="11"/>
        <color theme="1"/>
        <rFont val="Calibri"/>
        <family val="2"/>
        <scheme val="minor"/>
      </rPr>
      <t>5.</t>
    </r>
    <r>
      <rPr>
        <sz val="11"/>
        <color theme="1"/>
        <rFont val="Calibri"/>
        <family val="2"/>
        <scheme val="minor"/>
      </rPr>
      <t xml:space="preserve"> Continuare a investiților realizate prin POS Mediu I;</t>
    </r>
  </si>
  <si>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locuitor; 
</t>
    </r>
    <r>
      <rPr>
        <b/>
        <sz val="11"/>
        <color theme="1"/>
        <rFont val="Calibri"/>
        <family val="2"/>
        <scheme val="minor"/>
      </rPr>
      <t>4.</t>
    </r>
    <r>
      <rPr>
        <sz val="11"/>
        <color theme="1"/>
        <rFont val="Calibri"/>
        <family val="2"/>
        <scheme val="minor"/>
      </rPr>
      <t>Comuna Ciceu Mihăești este membră ADI - Apă - Canalizare Bistrița.</t>
    </r>
  </si>
  <si>
    <r>
      <rPr>
        <b/>
        <sz val="11"/>
        <color theme="1"/>
        <rFont val="Calibri"/>
        <family val="2"/>
        <scheme val="minor"/>
      </rPr>
      <t>1.</t>
    </r>
    <r>
      <rPr>
        <sz val="11"/>
        <color theme="1"/>
        <rFont val="Calibri"/>
        <family val="2"/>
        <scheme val="minor"/>
      </rPr>
      <t xml:space="preserve"> Orașul Beclean face parte din  Aglomerarea Regională Beclean.
</t>
    </r>
    <r>
      <rPr>
        <b/>
        <sz val="11"/>
        <color theme="1"/>
        <rFont val="Calibri"/>
        <family val="2"/>
        <scheme val="minor"/>
      </rPr>
      <t>2.</t>
    </r>
    <r>
      <rPr>
        <sz val="11"/>
        <color theme="1"/>
        <rFont val="Calibri"/>
        <family val="2"/>
        <scheme val="minor"/>
      </rPr>
      <t xml:space="preserve"> Investițiile în sistemul de canalizare max: 2000 euro/cap locuitor;
</t>
    </r>
    <r>
      <rPr>
        <b/>
        <sz val="11"/>
        <color theme="1"/>
        <rFont val="Calibri"/>
        <family val="2"/>
        <scheme val="minor"/>
      </rPr>
      <t>3.</t>
    </r>
    <r>
      <rPr>
        <sz val="11"/>
        <color theme="1"/>
        <rFont val="Calibri"/>
        <family val="2"/>
        <scheme val="minor"/>
      </rPr>
      <t xml:space="preserve">Asigurarea gradului de conectare de 100% pânâ în 2018;
</t>
    </r>
    <r>
      <rPr>
        <b/>
        <sz val="11"/>
        <color theme="1"/>
        <rFont val="Calibri"/>
        <family val="2"/>
        <scheme val="minor"/>
      </rPr>
      <t xml:space="preserve">4. </t>
    </r>
    <r>
      <rPr>
        <sz val="11"/>
        <color theme="1"/>
        <rFont val="Calibri"/>
        <family val="2"/>
        <scheme val="minor"/>
      </rPr>
      <t>Orașul Beclean este membru ADI - Apă - Canalizare Bistrița.</t>
    </r>
  </si>
  <si>
    <r>
      <rPr>
        <b/>
        <sz val="11"/>
        <color theme="1"/>
        <rFont val="Calibri"/>
        <family val="2"/>
        <scheme val="minor"/>
      </rPr>
      <t>1.</t>
    </r>
    <r>
      <rPr>
        <sz val="11"/>
        <color theme="1"/>
        <rFont val="Calibri"/>
        <family val="2"/>
        <scheme val="minor"/>
      </rPr>
      <t xml:space="preserve"> Orașul Năsăud face parte din  Aglomerarea Regională Năsăud/Salva.
</t>
    </r>
    <r>
      <rPr>
        <b/>
        <sz val="11"/>
        <color theme="1"/>
        <rFont val="Calibri"/>
        <family val="2"/>
        <scheme val="minor"/>
      </rPr>
      <t>2.</t>
    </r>
    <r>
      <rPr>
        <sz val="11"/>
        <color theme="1"/>
        <rFont val="Calibri"/>
        <family val="2"/>
        <scheme val="minor"/>
      </rPr>
      <t xml:space="preserve"> Investițiile în sistemul de canalizare max: 2000 euro/cap locuitor;
</t>
    </r>
    <r>
      <rPr>
        <b/>
        <sz val="11"/>
        <color theme="1"/>
        <rFont val="Calibri"/>
        <family val="2"/>
        <scheme val="minor"/>
      </rPr>
      <t>3.</t>
    </r>
    <r>
      <rPr>
        <sz val="11"/>
        <color theme="1"/>
        <rFont val="Calibri"/>
        <family val="2"/>
        <scheme val="minor"/>
      </rPr>
      <t xml:space="preserve">Asigurarea gradului de conectare de 100% pânâ în 2018;
</t>
    </r>
    <r>
      <rPr>
        <b/>
        <sz val="11"/>
        <color theme="1"/>
        <rFont val="Calibri"/>
        <family val="2"/>
        <scheme val="minor"/>
      </rPr>
      <t>4.</t>
    </r>
    <r>
      <rPr>
        <sz val="11"/>
        <color theme="1"/>
        <rFont val="Calibri"/>
        <family val="2"/>
        <scheme val="minor"/>
      </rPr>
      <t>Orașul Năsăud este membru ADI - Apă - Canalizare Bistrița.</t>
    </r>
  </si>
  <si>
    <r>
      <rPr>
        <b/>
        <sz val="11"/>
        <color theme="1"/>
        <rFont val="Calibri"/>
        <family val="2"/>
        <scheme val="minor"/>
      </rPr>
      <t>1.</t>
    </r>
    <r>
      <rPr>
        <sz val="11"/>
        <color theme="1"/>
        <rFont val="Calibri"/>
        <family val="2"/>
        <scheme val="minor"/>
      </rPr>
      <t xml:space="preserve"> Localități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 xml:space="preserve">3. </t>
    </r>
    <r>
      <rPr>
        <sz val="11"/>
        <color theme="1"/>
        <rFont val="Calibri"/>
        <family val="2"/>
        <scheme val="minor"/>
      </rPr>
      <t xml:space="preserve">Investiții în sistemul de alimentare cu apa: aprox. 1.000 Euro / locuitor; 
</t>
    </r>
    <r>
      <rPr>
        <b/>
        <sz val="11"/>
        <color theme="1"/>
        <rFont val="Calibri"/>
        <family val="2"/>
        <scheme val="minor"/>
      </rPr>
      <t xml:space="preserve">4. </t>
    </r>
    <r>
      <rPr>
        <sz val="11"/>
        <color theme="1"/>
        <rFont val="Calibri"/>
        <family val="2"/>
        <scheme val="minor"/>
      </rPr>
      <t>Comuna Șieu - Măgheruș este membră ADI - Apă - Canalizare Bistrița.</t>
    </r>
  </si>
  <si>
    <r>
      <rPr>
        <b/>
        <sz val="11"/>
        <color theme="1"/>
        <rFont val="Calibri"/>
        <family val="2"/>
        <scheme val="minor"/>
      </rPr>
      <t>1.</t>
    </r>
    <r>
      <rPr>
        <sz val="11"/>
        <color theme="1"/>
        <rFont val="Calibri"/>
        <family val="2"/>
        <scheme val="minor"/>
      </rPr>
      <t xml:space="preserve"> Localități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 xml:space="preserve">3. </t>
    </r>
    <r>
      <rPr>
        <sz val="11"/>
        <color theme="1"/>
        <rFont val="Calibri"/>
        <family val="2"/>
        <scheme val="minor"/>
      </rPr>
      <t xml:space="preserve">Investiții în sistemul de alimentare cu apa: aprox.1.000 Euro / locuitor; 
</t>
    </r>
    <r>
      <rPr>
        <b/>
        <sz val="11"/>
        <color theme="1"/>
        <rFont val="Calibri"/>
        <family val="2"/>
        <scheme val="minor"/>
      </rPr>
      <t xml:space="preserve">4. </t>
    </r>
    <r>
      <rPr>
        <sz val="11"/>
        <color theme="1"/>
        <rFont val="Calibri"/>
        <family val="2"/>
        <scheme val="minor"/>
      </rPr>
      <t xml:space="preserve">Comuna Branișteae ste membră ADI - Apă - Canalizare Bistrița.
</t>
    </r>
    <r>
      <rPr>
        <b/>
        <sz val="11"/>
        <color theme="1"/>
        <rFont val="Calibri"/>
        <family val="2"/>
        <scheme val="minor"/>
      </rPr>
      <t>5.</t>
    </r>
    <r>
      <rPr>
        <sz val="11"/>
        <color theme="1"/>
        <rFont val="Calibri"/>
        <family val="2"/>
        <scheme val="minor"/>
      </rPr>
      <t xml:space="preserve"> Continuare a investițiilor realizate prin POS Mediu 1.
</t>
    </r>
  </si>
  <si>
    <r>
      <rPr>
        <b/>
        <sz val="11"/>
        <color theme="1"/>
        <rFont val="Calibri"/>
        <family val="2"/>
        <scheme val="minor"/>
      </rPr>
      <t>1.</t>
    </r>
    <r>
      <rPr>
        <sz val="11"/>
        <color theme="1"/>
        <rFont val="Calibri"/>
        <family val="2"/>
        <scheme val="minor"/>
      </rPr>
      <t xml:space="preserve"> Localitate cu peste 50 de locuitori; în prezent nu există sistem de alimentare cu apă centralizat;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locuitor; 
</t>
    </r>
    <r>
      <rPr>
        <b/>
        <sz val="11"/>
        <color theme="1"/>
        <rFont val="Calibri"/>
        <family val="2"/>
        <scheme val="minor"/>
      </rPr>
      <t xml:space="preserve">4. </t>
    </r>
    <r>
      <rPr>
        <sz val="11"/>
        <color theme="1"/>
        <rFont val="Calibri"/>
        <family val="2"/>
        <scheme val="minor"/>
      </rPr>
      <t xml:space="preserve">Comuna Braniștea este membră ADI - Apă - Canalizare Bistrița.
</t>
    </r>
  </si>
  <si>
    <r>
      <rPr>
        <b/>
        <sz val="11"/>
        <color theme="1"/>
        <rFont val="Calibri"/>
        <family val="2"/>
        <scheme val="minor"/>
      </rPr>
      <t>1.</t>
    </r>
    <r>
      <rPr>
        <sz val="11"/>
        <color theme="1"/>
        <rFont val="Calibri"/>
        <family val="2"/>
        <scheme val="minor"/>
      </rPr>
      <t xml:space="preserve"> Comuna Braniștea face parte din  Aglomerarea Regională Beclean;
</t>
    </r>
    <r>
      <rPr>
        <b/>
        <sz val="11"/>
        <color theme="1"/>
        <rFont val="Calibri"/>
        <family val="2"/>
        <scheme val="minor"/>
      </rPr>
      <t>2.</t>
    </r>
    <r>
      <rPr>
        <sz val="11"/>
        <color theme="1"/>
        <rFont val="Calibri"/>
        <family val="2"/>
        <scheme val="minor"/>
      </rPr>
      <t xml:space="preserve"> Investițiile în sistemul de canalizare max: 2000 euro/cap locuitor;
</t>
    </r>
    <r>
      <rPr>
        <b/>
        <sz val="11"/>
        <color theme="1"/>
        <rFont val="Calibri"/>
        <family val="2"/>
        <scheme val="minor"/>
      </rPr>
      <t xml:space="preserve">3. </t>
    </r>
    <r>
      <rPr>
        <sz val="11"/>
        <color theme="1"/>
        <rFont val="Calibri"/>
        <family val="2"/>
        <scheme val="minor"/>
      </rPr>
      <t xml:space="preserve">Asigurarea gradului de conectare de 100% pânâ în 2018;
</t>
    </r>
    <r>
      <rPr>
        <b/>
        <sz val="11"/>
        <color theme="1"/>
        <rFont val="Calibri"/>
        <family val="2"/>
        <scheme val="minor"/>
      </rPr>
      <t xml:space="preserve">4. </t>
    </r>
    <r>
      <rPr>
        <sz val="11"/>
        <color theme="1"/>
        <rFont val="Calibri"/>
        <family val="2"/>
        <scheme val="minor"/>
      </rPr>
      <t xml:space="preserve">Comuna Braniștea este membră ADI - Apă - Canalizare Bistrița.
</t>
    </r>
    <r>
      <rPr>
        <b/>
        <sz val="11"/>
        <color theme="1"/>
        <rFont val="Calibri"/>
        <family val="2"/>
        <scheme val="minor"/>
      </rPr>
      <t>5.</t>
    </r>
    <r>
      <rPr>
        <sz val="11"/>
        <color theme="1"/>
        <rFont val="Calibri"/>
        <family val="2"/>
        <scheme val="minor"/>
      </rPr>
      <t xml:space="preserve">  Continuare a investiților realizate prin POS Mediu I;</t>
    </r>
  </si>
  <si>
    <r>
      <rPr>
        <b/>
        <sz val="11"/>
        <color theme="1"/>
        <rFont val="Calibri"/>
        <family val="2"/>
        <scheme val="minor"/>
      </rPr>
      <t>1.</t>
    </r>
    <r>
      <rPr>
        <sz val="11"/>
        <color theme="1"/>
        <rFont val="Calibri"/>
        <family val="2"/>
        <scheme val="minor"/>
      </rPr>
      <t xml:space="preserve"> Localitate cu peste 50 de locuitori; în prezent nu există sistem de alimentare cu apă centralizat în această localitate;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locuitor; 
</t>
    </r>
    <r>
      <rPr>
        <b/>
        <sz val="11"/>
        <color theme="1"/>
        <rFont val="Calibri"/>
        <family val="2"/>
        <scheme val="minor"/>
      </rPr>
      <t>4.</t>
    </r>
    <r>
      <rPr>
        <sz val="11"/>
        <color theme="1"/>
        <rFont val="Calibri"/>
        <family val="2"/>
        <scheme val="minor"/>
      </rPr>
      <t xml:space="preserve">Comuna Chiuza este membră ADI - Apă - Canalizare Bistrița.
</t>
    </r>
  </si>
  <si>
    <r>
      <rPr>
        <b/>
        <sz val="11"/>
        <color theme="1"/>
        <rFont val="Calibri"/>
        <family val="2"/>
        <scheme val="minor"/>
      </rPr>
      <t>1.</t>
    </r>
    <r>
      <rPr>
        <sz val="11"/>
        <color theme="1"/>
        <rFont val="Calibri"/>
        <family val="2"/>
        <scheme val="minor"/>
      </rPr>
      <t xml:space="preserve"> Localitate cu peste 50 de locuitori; în prezent nu există sistem de alimentare cu apă centralizat în această localitate;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locuitor; 
</t>
    </r>
    <r>
      <rPr>
        <b/>
        <sz val="11"/>
        <color theme="1"/>
        <rFont val="Calibri"/>
        <family val="2"/>
        <scheme val="minor"/>
      </rPr>
      <t>4.</t>
    </r>
    <r>
      <rPr>
        <sz val="11"/>
        <color theme="1"/>
        <rFont val="Calibri"/>
        <family val="2"/>
        <scheme val="minor"/>
      </rPr>
      <t xml:space="preserve"> Comuna Uriu este membră ADI - Apă - Canalizare Bistrița.
</t>
    </r>
  </si>
  <si>
    <r>
      <rPr>
        <b/>
        <sz val="11"/>
        <color theme="1"/>
        <rFont val="Calibri"/>
        <family val="2"/>
        <scheme val="minor"/>
      </rPr>
      <t>1.</t>
    </r>
    <r>
      <rPr>
        <sz val="11"/>
        <color theme="1"/>
        <rFont val="Calibri"/>
        <family val="2"/>
        <scheme val="minor"/>
      </rPr>
      <t xml:space="preserve"> Localități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locuitor; 
</t>
    </r>
    <r>
      <rPr>
        <b/>
        <sz val="11"/>
        <color theme="1"/>
        <rFont val="Calibri"/>
        <family val="2"/>
        <scheme val="minor"/>
      </rPr>
      <t>4.</t>
    </r>
    <r>
      <rPr>
        <sz val="11"/>
        <color theme="1"/>
        <rFont val="Calibri"/>
        <family val="2"/>
        <scheme val="minor"/>
      </rPr>
      <t>Comuna Dumitrița este membră ADI - Apă - Canalizare Bistrița.</t>
    </r>
  </si>
  <si>
    <r>
      <rPr>
        <b/>
        <sz val="11"/>
        <color theme="1"/>
        <rFont val="Calibri"/>
        <family val="2"/>
        <scheme val="minor"/>
      </rPr>
      <t>1.</t>
    </r>
    <r>
      <rPr>
        <sz val="11"/>
        <color theme="1"/>
        <rFont val="Calibri"/>
        <family val="2"/>
        <scheme val="minor"/>
      </rPr>
      <t xml:space="preserve"> Comuna Prundu Bârgăului face parte din Aglomerarea Regională Bistrița;
</t>
    </r>
    <r>
      <rPr>
        <b/>
        <sz val="11"/>
        <color theme="1"/>
        <rFont val="Calibri"/>
        <family val="2"/>
        <scheme val="minor"/>
      </rPr>
      <t>2.</t>
    </r>
    <r>
      <rPr>
        <sz val="11"/>
        <color theme="1"/>
        <rFont val="Calibri"/>
        <family val="2"/>
        <scheme val="minor"/>
      </rPr>
      <t xml:space="preserve"> Investițiile în sistemul de canalizare max: 2000 euro/cap locuitor;
</t>
    </r>
    <r>
      <rPr>
        <b/>
        <sz val="11"/>
        <color theme="1"/>
        <rFont val="Calibri"/>
        <family val="2"/>
        <scheme val="minor"/>
      </rPr>
      <t>3.</t>
    </r>
    <r>
      <rPr>
        <sz val="11"/>
        <color theme="1"/>
        <rFont val="Calibri"/>
        <family val="2"/>
        <scheme val="minor"/>
      </rPr>
      <t xml:space="preserve"> Asigurarea gradului de conectare de 100% pânâ în 2018;
</t>
    </r>
    <r>
      <rPr>
        <b/>
        <sz val="11"/>
        <color theme="1"/>
        <rFont val="Calibri"/>
        <family val="2"/>
        <scheme val="minor"/>
      </rPr>
      <t>4.</t>
    </r>
    <r>
      <rPr>
        <sz val="11"/>
        <color theme="1"/>
        <rFont val="Calibri"/>
        <family val="2"/>
        <scheme val="minor"/>
      </rPr>
      <t>Comuna Prundu Bârgăului este membră ADI - Apă - Canalizare Bistrița.</t>
    </r>
  </si>
  <si>
    <r>
      <rPr>
        <b/>
        <sz val="11"/>
        <color theme="1"/>
        <rFont val="Calibri"/>
        <family val="2"/>
        <scheme val="minor"/>
      </rPr>
      <t>1.</t>
    </r>
    <r>
      <rPr>
        <sz val="11"/>
        <color theme="1"/>
        <rFont val="Calibri"/>
        <family val="2"/>
        <scheme val="minor"/>
      </rPr>
      <t xml:space="preserve"> Localități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locuitor; 
</t>
    </r>
    <r>
      <rPr>
        <b/>
        <sz val="11"/>
        <color theme="1"/>
        <rFont val="Calibri"/>
        <family val="2"/>
        <scheme val="minor"/>
      </rPr>
      <t xml:space="preserve">4. </t>
    </r>
    <r>
      <rPr>
        <sz val="11"/>
        <color theme="1"/>
        <rFont val="Calibri"/>
        <family val="2"/>
        <scheme val="minor"/>
      </rPr>
      <t xml:space="preserve">Comuna Rebrișoar aeste membră ADI - Apă - Canalizare Bistrița.
</t>
    </r>
  </si>
  <si>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locuitor; 
</t>
    </r>
    <r>
      <rPr>
        <b/>
        <sz val="11"/>
        <color theme="1"/>
        <rFont val="Calibri"/>
        <family val="2"/>
        <scheme val="minor"/>
      </rPr>
      <t>4.</t>
    </r>
    <r>
      <rPr>
        <sz val="11"/>
        <color theme="1"/>
        <rFont val="Calibri"/>
        <family val="2"/>
        <scheme val="minor"/>
      </rPr>
      <t xml:space="preserve">Comuna Feldru este membră ADI - Apă - Canalizare Bistrița.
</t>
    </r>
    <r>
      <rPr>
        <b/>
        <sz val="11"/>
        <color theme="1"/>
        <rFont val="Calibri"/>
        <family val="2"/>
        <scheme val="minor"/>
      </rPr>
      <t>5.</t>
    </r>
    <r>
      <rPr>
        <sz val="11"/>
        <color theme="1"/>
        <rFont val="Calibri"/>
        <family val="2"/>
        <scheme val="minor"/>
      </rPr>
      <t xml:space="preserve"> Continuare a investițiilor realizate prin POS Mediu 1.
</t>
    </r>
  </si>
  <si>
    <r>
      <rPr>
        <b/>
        <sz val="11"/>
        <color theme="1"/>
        <rFont val="Calibri"/>
        <family val="2"/>
        <scheme val="minor"/>
      </rPr>
      <t>1.</t>
    </r>
    <r>
      <rPr>
        <sz val="11"/>
        <color theme="1"/>
        <rFont val="Calibri"/>
        <family val="2"/>
        <scheme val="minor"/>
      </rPr>
      <t xml:space="preserve"> Comuna Feldru face parte din Aglomerarea Regională Năsăud/Salva;
</t>
    </r>
    <r>
      <rPr>
        <b/>
        <sz val="11"/>
        <color theme="1"/>
        <rFont val="Calibri"/>
        <family val="2"/>
        <scheme val="minor"/>
      </rPr>
      <t>2.</t>
    </r>
    <r>
      <rPr>
        <sz val="11"/>
        <color theme="1"/>
        <rFont val="Calibri"/>
        <family val="2"/>
        <scheme val="minor"/>
      </rPr>
      <t xml:space="preserve"> Investițiile în sistemul de canalizare max: 2000 euro/cap locuitor;
</t>
    </r>
    <r>
      <rPr>
        <b/>
        <sz val="11"/>
        <color theme="1"/>
        <rFont val="Calibri"/>
        <family val="2"/>
        <scheme val="minor"/>
      </rPr>
      <t xml:space="preserve">3. </t>
    </r>
    <r>
      <rPr>
        <sz val="11"/>
        <color theme="1"/>
        <rFont val="Calibri"/>
        <family val="2"/>
        <scheme val="minor"/>
      </rPr>
      <t xml:space="preserve">Asigurarea gradului de conectare de 100% pânâ în 2018;
</t>
    </r>
    <r>
      <rPr>
        <b/>
        <sz val="11"/>
        <color theme="1"/>
        <rFont val="Calibri"/>
        <family val="2"/>
        <scheme val="minor"/>
      </rPr>
      <t>4.</t>
    </r>
    <r>
      <rPr>
        <sz val="11"/>
        <color theme="1"/>
        <rFont val="Calibri"/>
        <family val="2"/>
        <scheme val="minor"/>
      </rPr>
      <t xml:space="preserve">Comuna Feldru este membră ADI - Apă - Canalizare Bistrița.
</t>
    </r>
    <r>
      <rPr>
        <b/>
        <sz val="11"/>
        <color theme="1"/>
        <rFont val="Calibri"/>
        <family val="2"/>
        <scheme val="minor"/>
      </rPr>
      <t>5.</t>
    </r>
    <r>
      <rPr>
        <sz val="11"/>
        <color theme="1"/>
        <rFont val="Calibri"/>
        <family val="2"/>
        <scheme val="minor"/>
      </rPr>
      <t xml:space="preserve"> Continuare a investițiilor realizate prin POS Mediu 1.</t>
    </r>
  </si>
  <si>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locuitor; 
</t>
    </r>
    <r>
      <rPr>
        <b/>
        <sz val="11"/>
        <color theme="1"/>
        <rFont val="Calibri"/>
        <family val="2"/>
        <scheme val="minor"/>
      </rPr>
      <t>4.</t>
    </r>
    <r>
      <rPr>
        <sz val="11"/>
        <color theme="1"/>
        <rFont val="Calibri"/>
        <family val="2"/>
        <scheme val="minor"/>
      </rPr>
      <t>Comuna Salva este membră ADI - Apă - Canalizare Bistrița.</t>
    </r>
  </si>
  <si>
    <r>
      <rPr>
        <b/>
        <sz val="11"/>
        <color theme="1"/>
        <rFont val="Calibri"/>
        <family val="2"/>
        <scheme val="minor"/>
      </rPr>
      <t>1.</t>
    </r>
    <r>
      <rPr>
        <sz val="11"/>
        <color theme="1"/>
        <rFont val="Calibri"/>
        <family val="2"/>
        <scheme val="minor"/>
      </rPr>
      <t xml:space="preserve"> Comuna Salva face parte din Aglomerarea Regională Năsăud/Salva;
</t>
    </r>
    <r>
      <rPr>
        <b/>
        <sz val="11"/>
        <color theme="1"/>
        <rFont val="Calibri"/>
        <family val="2"/>
        <scheme val="minor"/>
      </rPr>
      <t>2.</t>
    </r>
    <r>
      <rPr>
        <sz val="11"/>
        <color theme="1"/>
        <rFont val="Calibri"/>
        <family val="2"/>
        <scheme val="minor"/>
      </rPr>
      <t xml:space="preserve"> Investițiile în sistemul de canalizare max: 2000 euro/cap locuitor;
</t>
    </r>
    <r>
      <rPr>
        <b/>
        <sz val="11"/>
        <color theme="1"/>
        <rFont val="Calibri"/>
        <family val="2"/>
        <scheme val="minor"/>
      </rPr>
      <t>3.</t>
    </r>
    <r>
      <rPr>
        <sz val="11"/>
        <color theme="1"/>
        <rFont val="Calibri"/>
        <family val="2"/>
        <scheme val="minor"/>
      </rPr>
      <t xml:space="preserve"> Asigurarea gradului de conectare de 100% pânâ în 2018;
</t>
    </r>
    <r>
      <rPr>
        <b/>
        <sz val="11"/>
        <color theme="1"/>
        <rFont val="Calibri"/>
        <family val="2"/>
        <scheme val="minor"/>
      </rPr>
      <t>4.</t>
    </r>
    <r>
      <rPr>
        <sz val="11"/>
        <color theme="1"/>
        <rFont val="Calibri"/>
        <family val="2"/>
        <scheme val="minor"/>
      </rPr>
      <t xml:space="preserve">Comuna Salva este membră ADI - Apă - Canalizare Bistrița.
</t>
    </r>
    <r>
      <rPr>
        <b/>
        <sz val="11"/>
        <color theme="1"/>
        <rFont val="Calibri"/>
        <family val="2"/>
        <scheme val="minor"/>
      </rPr>
      <t>5.</t>
    </r>
    <r>
      <rPr>
        <sz val="11"/>
        <color theme="1"/>
        <rFont val="Calibri"/>
        <family val="2"/>
        <scheme val="minor"/>
      </rPr>
      <t xml:space="preserve"> Continuare a investițiilor realizate prin POS Mediu 1.</t>
    </r>
  </si>
  <si>
    <r>
      <rPr>
        <b/>
        <sz val="11"/>
        <color theme="1"/>
        <rFont val="Calibri"/>
        <family val="2"/>
        <scheme val="minor"/>
      </rPr>
      <t>1.</t>
    </r>
    <r>
      <rPr>
        <sz val="11"/>
        <color theme="1"/>
        <rFont val="Calibri"/>
        <family val="2"/>
        <scheme val="minor"/>
      </rPr>
      <t xml:space="preserve"> Localități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locuitor; 
</t>
    </r>
    <r>
      <rPr>
        <b/>
        <sz val="11"/>
        <color theme="1"/>
        <rFont val="Calibri"/>
        <family val="2"/>
        <scheme val="minor"/>
      </rPr>
      <t xml:space="preserve">4. </t>
    </r>
    <r>
      <rPr>
        <sz val="11"/>
        <color theme="1"/>
        <rFont val="Calibri"/>
        <family val="2"/>
        <scheme val="minor"/>
      </rPr>
      <t xml:space="preserve">Comuna Căianu Mic este membră ADI - Apă - Canalizare Bistrița.
</t>
    </r>
    <r>
      <rPr>
        <b/>
        <sz val="11"/>
        <color theme="1"/>
        <rFont val="Calibri"/>
        <family val="2"/>
        <scheme val="minor"/>
      </rPr>
      <t>5.</t>
    </r>
    <r>
      <rPr>
        <sz val="11"/>
        <color theme="1"/>
        <rFont val="Calibri"/>
        <family val="2"/>
        <scheme val="minor"/>
      </rPr>
      <t xml:space="preserve">  Continuare a investițiilor realizate prin POS Mediu 1.</t>
    </r>
  </si>
  <si>
    <r>
      <rPr>
        <b/>
        <sz val="11"/>
        <color theme="1"/>
        <rFont val="Calibri"/>
        <family val="2"/>
        <scheme val="minor"/>
      </rPr>
      <t>1.</t>
    </r>
    <r>
      <rPr>
        <sz val="11"/>
        <color theme="1"/>
        <rFont val="Calibri"/>
        <family val="2"/>
        <scheme val="minor"/>
      </rPr>
      <t xml:space="preserve"> Localitate cu peste 50 de locuitori; în prezent nu există sistem de alimentare cu apă centralizat în această localitate;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locuitor; 
</t>
    </r>
    <r>
      <rPr>
        <b/>
        <sz val="11"/>
        <color theme="1"/>
        <rFont val="Calibri"/>
        <family val="2"/>
        <scheme val="minor"/>
      </rPr>
      <t>4.</t>
    </r>
    <r>
      <rPr>
        <sz val="11"/>
        <color theme="1"/>
        <rFont val="Calibri"/>
        <family val="2"/>
        <scheme val="minor"/>
      </rPr>
      <t xml:space="preserve">Comuna Căianu Mic este membră ADI - Apă - Canalizare Bistrița.
</t>
    </r>
  </si>
  <si>
    <r>
      <rPr>
        <b/>
        <sz val="11"/>
        <color theme="1"/>
        <rFont val="Calibri"/>
        <family val="2"/>
        <scheme val="minor"/>
      </rPr>
      <t>1.</t>
    </r>
    <r>
      <rPr>
        <sz val="11"/>
        <color theme="1"/>
        <rFont val="Calibri"/>
        <family val="2"/>
        <scheme val="minor"/>
      </rPr>
      <t xml:space="preserve"> Localități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locuitor; 
</t>
    </r>
    <r>
      <rPr>
        <b/>
        <sz val="11"/>
        <color theme="1"/>
        <rFont val="Calibri"/>
        <family val="2"/>
        <scheme val="minor"/>
      </rPr>
      <t>4.</t>
    </r>
    <r>
      <rPr>
        <sz val="11"/>
        <color theme="1"/>
        <rFont val="Calibri"/>
        <family val="2"/>
        <scheme val="minor"/>
      </rPr>
      <t xml:space="preserve"> Comuna Ciceu - Giurgești este membră ADI - Apă - Canalizare Bistrița.
</t>
    </r>
    <r>
      <rPr>
        <b/>
        <sz val="11"/>
        <color theme="1"/>
        <rFont val="Calibri"/>
        <family val="2"/>
        <scheme val="minor"/>
      </rPr>
      <t>5.</t>
    </r>
    <r>
      <rPr>
        <sz val="11"/>
        <color theme="1"/>
        <rFont val="Calibri"/>
        <family val="2"/>
        <scheme val="minor"/>
      </rPr>
      <t xml:space="preserve"> Continuare a investițiilor realizate prin alte surse de finanțare.</t>
    </r>
  </si>
  <si>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locuitor; 
</t>
    </r>
    <r>
      <rPr>
        <b/>
        <sz val="11"/>
        <color theme="1"/>
        <rFont val="Calibri"/>
        <family val="2"/>
        <scheme val="minor"/>
      </rPr>
      <t>4</t>
    </r>
    <r>
      <rPr>
        <sz val="11"/>
        <color theme="1"/>
        <rFont val="Calibri"/>
        <family val="2"/>
        <scheme val="minor"/>
      </rPr>
      <t xml:space="preserve">.Comuna Coșbuc este membră ADI - Apă - Canalizare Bistrița.
</t>
    </r>
    <r>
      <rPr>
        <b/>
        <sz val="11"/>
        <color theme="1"/>
        <rFont val="Calibri"/>
        <family val="2"/>
        <scheme val="minor"/>
      </rPr>
      <t>5.</t>
    </r>
    <r>
      <rPr>
        <sz val="11"/>
        <color theme="1"/>
        <rFont val="Calibri"/>
        <family val="2"/>
        <scheme val="minor"/>
      </rPr>
      <t xml:space="preserve"> Continuare a investițiilor realizate prin alte surse de finanțare.
</t>
    </r>
  </si>
  <si>
    <r>
      <rPr>
        <b/>
        <sz val="11"/>
        <color theme="1"/>
        <rFont val="Calibri"/>
        <family val="2"/>
        <scheme val="minor"/>
      </rPr>
      <t>1.</t>
    </r>
    <r>
      <rPr>
        <sz val="11"/>
        <color theme="1"/>
        <rFont val="Calibri"/>
        <family val="2"/>
        <scheme val="minor"/>
      </rPr>
      <t xml:space="preserve"> Localități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locuitor; 
</t>
    </r>
    <r>
      <rPr>
        <b/>
        <sz val="11"/>
        <color theme="1"/>
        <rFont val="Calibri"/>
        <family val="2"/>
        <scheme val="minor"/>
      </rPr>
      <t>4.</t>
    </r>
    <r>
      <rPr>
        <sz val="11"/>
        <color theme="1"/>
        <rFont val="Calibri"/>
        <family val="2"/>
        <scheme val="minor"/>
      </rPr>
      <t xml:space="preserve"> Comuna Ilva Mare este membră ADI - Apă - Canalizare Bistrița.
</t>
    </r>
    <r>
      <rPr>
        <b/>
        <sz val="11"/>
        <color theme="1"/>
        <rFont val="Calibri"/>
        <family val="2"/>
        <scheme val="minor"/>
      </rPr>
      <t>5.</t>
    </r>
    <r>
      <rPr>
        <sz val="11"/>
        <color theme="1"/>
        <rFont val="Calibri"/>
        <family val="2"/>
        <scheme val="minor"/>
      </rPr>
      <t xml:space="preserve"> Continuare a investițiilor realizate prin alte surse de finanțare.</t>
    </r>
  </si>
  <si>
    <r>
      <rPr>
        <b/>
        <sz val="11"/>
        <color theme="1"/>
        <rFont val="Calibri"/>
        <family val="2"/>
        <scheme val="minor"/>
      </rPr>
      <t xml:space="preserve">1. </t>
    </r>
    <r>
      <rPr>
        <sz val="11"/>
        <color theme="1"/>
        <rFont val="Calibri"/>
        <family val="2"/>
        <scheme val="minor"/>
      </rPr>
      <t xml:space="preserve">Continuare a investițiilor realizate prin alte surse de finanțare.
</t>
    </r>
    <r>
      <rPr>
        <b/>
        <sz val="11"/>
        <color theme="1"/>
        <rFont val="Calibri"/>
        <family val="2"/>
        <scheme val="minor"/>
      </rPr>
      <t>2.</t>
    </r>
    <r>
      <rPr>
        <sz val="11"/>
        <color theme="1"/>
        <rFont val="Calibri"/>
        <family val="2"/>
        <scheme val="minor"/>
      </rPr>
      <t xml:space="preserve"> Investițiile în sistemul de canalizare max: 2000 euro/cap locuitor;
</t>
    </r>
    <r>
      <rPr>
        <b/>
        <sz val="11"/>
        <color theme="1"/>
        <rFont val="Calibri"/>
        <family val="2"/>
        <scheme val="minor"/>
      </rPr>
      <t>3.</t>
    </r>
    <r>
      <rPr>
        <sz val="11"/>
        <color theme="1"/>
        <rFont val="Calibri"/>
        <family val="2"/>
        <scheme val="minor"/>
      </rPr>
      <t xml:space="preserve"> Asigurarea gradului de conectare de 100% pânâ în 2018;
</t>
    </r>
    <r>
      <rPr>
        <b/>
        <sz val="11"/>
        <color theme="1"/>
        <rFont val="Calibri"/>
        <family val="2"/>
        <scheme val="minor"/>
      </rPr>
      <t>4.</t>
    </r>
    <r>
      <rPr>
        <sz val="11"/>
        <color theme="1"/>
        <rFont val="Calibri"/>
        <family val="2"/>
        <scheme val="minor"/>
      </rPr>
      <t xml:space="preserve"> Comuna Coșbuc este membră ADI - Apă - Canalizare Bistrița.
</t>
    </r>
    <r>
      <rPr>
        <b/>
        <sz val="11"/>
        <color theme="1"/>
        <rFont val="Calibri"/>
        <family val="2"/>
        <scheme val="minor"/>
      </rPr>
      <t xml:space="preserve">5. </t>
    </r>
    <r>
      <rPr>
        <sz val="11"/>
        <color theme="1"/>
        <rFont val="Calibri"/>
        <family val="2"/>
        <scheme val="minor"/>
      </rPr>
      <t>Comuna Coșbuc formează o aglomerare peste 2000 L.E.</t>
    </r>
  </si>
  <si>
    <r>
      <rPr>
        <b/>
        <sz val="11"/>
        <color theme="1"/>
        <rFont val="Calibri"/>
        <family val="2"/>
        <scheme val="minor"/>
      </rPr>
      <t>1.</t>
    </r>
    <r>
      <rPr>
        <sz val="11"/>
        <color theme="1"/>
        <rFont val="Calibri"/>
        <family val="2"/>
        <scheme val="minor"/>
      </rPr>
      <t xml:space="preserve"> Localitate cu peste 50 de locuitori; în prezent nu există sistem de alimentare cu apă centralizat.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locuitor; 
</t>
    </r>
    <r>
      <rPr>
        <b/>
        <sz val="11"/>
        <color theme="1"/>
        <rFont val="Calibri"/>
        <family val="2"/>
        <scheme val="minor"/>
      </rPr>
      <t xml:space="preserve">4. </t>
    </r>
    <r>
      <rPr>
        <sz val="11"/>
        <color theme="1"/>
        <rFont val="Calibri"/>
        <family val="2"/>
        <scheme val="minor"/>
      </rPr>
      <t xml:space="preserve">Comuna Leșu este membră ADI - Apă - Canalizare Bistrița.
</t>
    </r>
  </si>
  <si>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 xml:space="preserve">3. </t>
    </r>
    <r>
      <rPr>
        <sz val="11"/>
        <color theme="1"/>
        <rFont val="Calibri"/>
        <family val="2"/>
        <scheme val="minor"/>
      </rPr>
      <t xml:space="preserve">Investiții în sistemul de alimentare cu apa: aprox.1.000 Euro / locuitor; 
</t>
    </r>
    <r>
      <rPr>
        <b/>
        <sz val="11"/>
        <color theme="1"/>
        <rFont val="Calibri"/>
        <family val="2"/>
        <scheme val="minor"/>
      </rPr>
      <t>4.</t>
    </r>
    <r>
      <rPr>
        <sz val="11"/>
        <color theme="1"/>
        <rFont val="Calibri"/>
        <family val="2"/>
        <scheme val="minor"/>
      </rPr>
      <t xml:space="preserve"> Comuna Lunca Leșului este membră ADI - Apă - Canalizare Bistrița.
</t>
    </r>
    <r>
      <rPr>
        <b/>
        <sz val="11"/>
        <color theme="1"/>
        <rFont val="Calibri"/>
        <family val="2"/>
        <scheme val="minor"/>
      </rPr>
      <t>5.</t>
    </r>
    <r>
      <rPr>
        <sz val="11"/>
        <color theme="1"/>
        <rFont val="Calibri"/>
        <family val="2"/>
        <scheme val="minor"/>
      </rPr>
      <t xml:space="preserve"> Continuare a investițiilor realizate prin alte surse de finanțare.
</t>
    </r>
  </si>
  <si>
    <r>
      <rPr>
        <b/>
        <sz val="11"/>
        <color theme="1"/>
        <rFont val="Calibri"/>
        <family val="2"/>
        <scheme val="minor"/>
      </rPr>
      <t xml:space="preserve">1. </t>
    </r>
    <r>
      <rPr>
        <sz val="11"/>
        <color theme="1"/>
        <rFont val="Calibri"/>
        <family val="2"/>
        <scheme val="minor"/>
      </rPr>
      <t xml:space="preserve">Continuare a investițiilor realizate prin alte surse de finanțare.
</t>
    </r>
    <r>
      <rPr>
        <b/>
        <sz val="11"/>
        <color theme="1"/>
        <rFont val="Calibri"/>
        <family val="2"/>
        <scheme val="minor"/>
      </rPr>
      <t>2.</t>
    </r>
    <r>
      <rPr>
        <sz val="11"/>
        <color theme="1"/>
        <rFont val="Calibri"/>
        <family val="2"/>
        <scheme val="minor"/>
      </rPr>
      <t xml:space="preserve"> Investițiile în sistemul de canalizare max: 2000 euro/cap locuitor;
</t>
    </r>
    <r>
      <rPr>
        <b/>
        <sz val="11"/>
        <color theme="1"/>
        <rFont val="Calibri"/>
        <family val="2"/>
        <scheme val="minor"/>
      </rPr>
      <t xml:space="preserve">3. </t>
    </r>
    <r>
      <rPr>
        <sz val="11"/>
        <color theme="1"/>
        <rFont val="Calibri"/>
        <family val="2"/>
        <scheme val="minor"/>
      </rPr>
      <t xml:space="preserve">Asigurarea gradului de conectare de 100% pânâ în 2018;
</t>
    </r>
    <r>
      <rPr>
        <b/>
        <sz val="11"/>
        <color theme="1"/>
        <rFont val="Calibri"/>
        <family val="2"/>
        <scheme val="minor"/>
      </rPr>
      <t>4.</t>
    </r>
    <r>
      <rPr>
        <sz val="11"/>
        <color theme="1"/>
        <rFont val="Calibri"/>
        <family val="2"/>
        <scheme val="minor"/>
      </rPr>
      <t xml:space="preserve">Comuna Lunca Leșului este membră ADI - Apă - Canalizare Bistrița.
</t>
    </r>
    <r>
      <rPr>
        <b/>
        <sz val="11"/>
        <color theme="1"/>
        <rFont val="Calibri"/>
        <family val="2"/>
        <scheme val="minor"/>
      </rPr>
      <t>5.</t>
    </r>
    <r>
      <rPr>
        <sz val="11"/>
        <color theme="1"/>
        <rFont val="Calibri"/>
        <family val="2"/>
        <scheme val="minor"/>
      </rPr>
      <t xml:space="preserve"> Aglomerare rurală peste 2000 L.E.
</t>
    </r>
  </si>
  <si>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 xml:space="preserve">3. </t>
    </r>
    <r>
      <rPr>
        <sz val="11"/>
        <color theme="1"/>
        <rFont val="Calibri"/>
        <family val="2"/>
        <scheme val="minor"/>
      </rPr>
      <t xml:space="preserve">Investiții în sistemul de alimentare cu apa: aprox.1.000 Euro / locuitor; 
</t>
    </r>
    <r>
      <rPr>
        <b/>
        <sz val="11"/>
        <color theme="1"/>
        <rFont val="Calibri"/>
        <family val="2"/>
        <scheme val="minor"/>
      </rPr>
      <t>4.</t>
    </r>
    <r>
      <rPr>
        <sz val="11"/>
        <color theme="1"/>
        <rFont val="Calibri"/>
        <family val="2"/>
        <scheme val="minor"/>
      </rPr>
      <t xml:space="preserve"> Comuna Nimigea este membră ADI - Apă - Canalizare Bistrița.
</t>
    </r>
    <r>
      <rPr>
        <b/>
        <sz val="11"/>
        <color theme="1"/>
        <rFont val="Calibri"/>
        <family val="2"/>
        <scheme val="minor"/>
      </rPr>
      <t>5.</t>
    </r>
    <r>
      <rPr>
        <sz val="11"/>
        <color theme="1"/>
        <rFont val="Calibri"/>
        <family val="2"/>
        <scheme val="minor"/>
      </rPr>
      <t xml:space="preserve"> Continuare a investițiilor realizate prin POS Mediu 1.
</t>
    </r>
  </si>
  <si>
    <r>
      <rPr>
        <b/>
        <sz val="11"/>
        <color theme="1"/>
        <rFont val="Calibri"/>
        <family val="2"/>
        <scheme val="minor"/>
      </rPr>
      <t>1.</t>
    </r>
    <r>
      <rPr>
        <sz val="11"/>
        <color theme="1"/>
        <rFont val="Calibri"/>
        <family val="2"/>
        <scheme val="minor"/>
      </rPr>
      <t xml:space="preserve"> Localitatea Rebra este membră Aglomerarea Regională Năsăud/Salva;
</t>
    </r>
    <r>
      <rPr>
        <b/>
        <sz val="11"/>
        <color theme="1"/>
        <rFont val="Calibri"/>
        <family val="2"/>
        <scheme val="minor"/>
      </rPr>
      <t>2.</t>
    </r>
    <r>
      <rPr>
        <sz val="11"/>
        <color theme="1"/>
        <rFont val="Calibri"/>
        <family val="2"/>
        <scheme val="minor"/>
      </rPr>
      <t xml:space="preserve"> Investițiile în sistemul de canalizare max: 2000 euro/cap locuitor;
</t>
    </r>
    <r>
      <rPr>
        <b/>
        <sz val="11"/>
        <color theme="1"/>
        <rFont val="Calibri"/>
        <family val="2"/>
        <scheme val="minor"/>
      </rPr>
      <t>3</t>
    </r>
    <r>
      <rPr>
        <sz val="11"/>
        <color theme="1"/>
        <rFont val="Calibri"/>
        <family val="2"/>
        <scheme val="minor"/>
      </rPr>
      <t xml:space="preserve">. Asigurarea gradului de conectare de 100% pânâ în 2018;
</t>
    </r>
    <r>
      <rPr>
        <b/>
        <sz val="11"/>
        <color theme="1"/>
        <rFont val="Calibri"/>
        <family val="2"/>
        <scheme val="minor"/>
      </rPr>
      <t>4.</t>
    </r>
    <r>
      <rPr>
        <sz val="11"/>
        <color theme="1"/>
        <rFont val="Calibri"/>
        <family val="2"/>
        <scheme val="minor"/>
      </rPr>
      <t xml:space="preserve">Comuna Rebra este membră ADI - Apă - Canalizare Bistrița.
</t>
    </r>
  </si>
  <si>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cap locuitor; 
</t>
    </r>
    <r>
      <rPr>
        <b/>
        <sz val="11"/>
        <color theme="1"/>
        <rFont val="Calibri"/>
        <family val="2"/>
        <scheme val="minor"/>
      </rPr>
      <t>4.</t>
    </r>
    <r>
      <rPr>
        <sz val="11"/>
        <color theme="1"/>
        <rFont val="Calibri"/>
        <family val="2"/>
        <scheme val="minor"/>
      </rPr>
      <t xml:space="preserve">Comuna Runcu Salvei este membră ADI - Apă - Canalizare Bistrița.
</t>
    </r>
    <r>
      <rPr>
        <b/>
        <sz val="11"/>
        <color theme="1"/>
        <rFont val="Calibri"/>
        <family val="2"/>
        <scheme val="minor"/>
      </rPr>
      <t>5.</t>
    </r>
    <r>
      <rPr>
        <sz val="11"/>
        <color theme="1"/>
        <rFont val="Calibri"/>
        <family val="2"/>
        <scheme val="minor"/>
      </rPr>
      <t xml:space="preserve"> Continuare a investițiilor realizate prin alte surse de finanțare.</t>
    </r>
  </si>
  <si>
    <r>
      <rPr>
        <b/>
        <sz val="11"/>
        <color theme="1"/>
        <rFont val="Calibri"/>
        <family val="2"/>
        <scheme val="minor"/>
      </rPr>
      <t>1.</t>
    </r>
    <r>
      <rPr>
        <sz val="11"/>
        <color theme="1"/>
        <rFont val="Calibri"/>
        <family val="2"/>
        <scheme val="minor"/>
      </rPr>
      <t xml:space="preserve"> Localități cu peste 50 de locuitori; în prezent, în aceste localități nu există un sistem de alimentare cu apă centralizat;
</t>
    </r>
    <r>
      <rPr>
        <b/>
        <sz val="11"/>
        <color theme="1"/>
        <rFont val="Calibri"/>
        <family val="2"/>
        <scheme val="minor"/>
      </rPr>
      <t xml:space="preserve">2. </t>
    </r>
    <r>
      <rPr>
        <sz val="11"/>
        <color theme="1"/>
        <rFont val="Calibri"/>
        <family val="2"/>
        <scheme val="minor"/>
      </rPr>
      <t xml:space="preserve">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cap locuitor; 
</t>
    </r>
    <r>
      <rPr>
        <b/>
        <sz val="11"/>
        <color theme="1"/>
        <rFont val="Calibri"/>
        <family val="2"/>
        <scheme val="minor"/>
      </rPr>
      <t>4.</t>
    </r>
    <r>
      <rPr>
        <sz val="11"/>
        <color theme="1"/>
        <rFont val="Calibri"/>
        <family val="2"/>
        <scheme val="minor"/>
      </rPr>
      <t xml:space="preserve"> Comuna Spermezeu este membră ADI - Apă - Canalizare Bistrița.</t>
    </r>
  </si>
  <si>
    <r>
      <rPr>
        <b/>
        <sz val="11"/>
        <color theme="1"/>
        <rFont val="Calibri"/>
        <family val="2"/>
        <scheme val="minor"/>
      </rPr>
      <t>1.</t>
    </r>
    <r>
      <rPr>
        <sz val="11"/>
        <color theme="1"/>
        <rFont val="Calibri"/>
        <family val="2"/>
        <scheme val="minor"/>
      </rPr>
      <t xml:space="preserve"> Localitate cu peste 50 de locuitori; în prezent, în acestă localitate nu există un sistem de alimentare cu apă centralizat;
</t>
    </r>
    <r>
      <rPr>
        <b/>
        <sz val="11"/>
        <color theme="1"/>
        <rFont val="Calibri"/>
        <family val="2"/>
        <scheme val="minor"/>
      </rPr>
      <t>2</t>
    </r>
    <r>
      <rPr>
        <i/>
        <sz val="11"/>
        <color theme="1"/>
        <rFont val="Calibri"/>
        <family val="2"/>
        <scheme val="minor"/>
      </rPr>
      <t>.</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cap locuitor; 
</t>
    </r>
    <r>
      <rPr>
        <b/>
        <sz val="11"/>
        <color theme="1"/>
        <rFont val="Calibri"/>
        <family val="2"/>
        <scheme val="minor"/>
      </rPr>
      <t>4.</t>
    </r>
    <r>
      <rPr>
        <sz val="11"/>
        <color theme="1"/>
        <rFont val="Calibri"/>
        <family val="2"/>
        <scheme val="minor"/>
      </rPr>
      <t xml:space="preserve">Comuna Spermezeu este membră ADI - Apă - Canalizare Bistrița.
</t>
    </r>
    <r>
      <rPr>
        <b/>
        <sz val="11"/>
        <color theme="1"/>
        <rFont val="Calibri"/>
        <family val="2"/>
        <scheme val="minor"/>
      </rPr>
      <t>5.</t>
    </r>
    <r>
      <rPr>
        <sz val="11"/>
        <color theme="1"/>
        <rFont val="Calibri"/>
        <family val="2"/>
        <scheme val="minor"/>
      </rPr>
      <t xml:space="preserve"> Această soluție a fost adoptată în Master Planul inițial și reprezintă cea mai bună soluție din punct de vedere tehnico-economic.</t>
    </r>
  </si>
  <si>
    <r>
      <rPr>
        <b/>
        <sz val="11"/>
        <color theme="1"/>
        <rFont val="Calibri"/>
        <family val="2"/>
        <scheme val="minor"/>
      </rPr>
      <t>1.</t>
    </r>
    <r>
      <rPr>
        <sz val="11"/>
        <color theme="1"/>
        <rFont val="Calibri"/>
        <family val="2"/>
        <scheme val="minor"/>
      </rPr>
      <t xml:space="preserve"> Localitate cu peste 50 de locuitori; în prezent, în acestă localitate nu există un sistem de alimentare cu apă centralizat;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cap locuitor; 
</t>
    </r>
    <r>
      <rPr>
        <b/>
        <sz val="11"/>
        <color theme="1"/>
        <rFont val="Calibri"/>
        <family val="2"/>
        <scheme val="minor"/>
      </rPr>
      <t>4.</t>
    </r>
    <r>
      <rPr>
        <sz val="11"/>
        <color theme="1"/>
        <rFont val="Calibri"/>
        <family val="2"/>
        <scheme val="minor"/>
      </rPr>
      <t xml:space="preserve">Comuna Spermezeu este membră ADI - Apă - Canalizare Bistrița.
</t>
    </r>
  </si>
  <si>
    <r>
      <rPr>
        <b/>
        <sz val="11"/>
        <color theme="1"/>
        <rFont val="Calibri"/>
        <family val="2"/>
        <scheme val="minor"/>
      </rPr>
      <t>1.</t>
    </r>
    <r>
      <rPr>
        <sz val="11"/>
        <color theme="1"/>
        <rFont val="Calibri"/>
        <family val="2"/>
        <scheme val="minor"/>
      </rPr>
      <t xml:space="preserve"> Localități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cap locuitor; 
</t>
    </r>
    <r>
      <rPr>
        <b/>
        <sz val="11"/>
        <color theme="1"/>
        <rFont val="Calibri"/>
        <family val="2"/>
        <scheme val="minor"/>
      </rPr>
      <t xml:space="preserve">4. </t>
    </r>
    <r>
      <rPr>
        <sz val="11"/>
        <color theme="1"/>
        <rFont val="Calibri"/>
        <family val="2"/>
        <scheme val="minor"/>
      </rPr>
      <t xml:space="preserve">Comuna Telciu este membră ADI - Apă - Canalizare Bistrița.
</t>
    </r>
    <r>
      <rPr>
        <b/>
        <sz val="11"/>
        <color theme="1"/>
        <rFont val="Calibri"/>
        <family val="2"/>
        <scheme val="minor"/>
      </rPr>
      <t xml:space="preserve">5. </t>
    </r>
    <r>
      <rPr>
        <sz val="11"/>
        <color theme="1"/>
        <rFont val="Calibri"/>
        <family val="2"/>
        <scheme val="minor"/>
      </rPr>
      <t>Continuare a investițiilor realizate prin POS Mediu 1.</t>
    </r>
  </si>
  <si>
    <r>
      <rPr>
        <b/>
        <sz val="11"/>
        <color theme="1"/>
        <rFont val="Calibri"/>
        <family val="2"/>
        <scheme val="minor"/>
      </rPr>
      <t>1.</t>
    </r>
    <r>
      <rPr>
        <sz val="11"/>
        <color theme="1"/>
        <rFont val="Calibri"/>
        <family val="2"/>
        <scheme val="minor"/>
      </rPr>
      <t xml:space="preserve"> Localitate cu peste 50 de locuitori; în prezent, în acestă localitate nu există un sistem de alimentare cu apă centralizat;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cap locuitor; 
</t>
    </r>
    <r>
      <rPr>
        <b/>
        <sz val="11"/>
        <color theme="1"/>
        <rFont val="Calibri"/>
        <family val="2"/>
        <scheme val="minor"/>
      </rPr>
      <t>4.</t>
    </r>
    <r>
      <rPr>
        <sz val="11"/>
        <color theme="1"/>
        <rFont val="Calibri"/>
        <family val="2"/>
        <scheme val="minor"/>
      </rPr>
      <t>Comuna Târlișua este membră ADI - Apă - Canalizare Bistrița.</t>
    </r>
  </si>
  <si>
    <r>
      <rPr>
        <b/>
        <sz val="11"/>
        <color theme="1"/>
        <rFont val="Calibri"/>
        <family val="2"/>
        <scheme val="minor"/>
      </rPr>
      <t>1.</t>
    </r>
    <r>
      <rPr>
        <sz val="11"/>
        <color theme="1"/>
        <rFont val="Calibri"/>
        <family val="2"/>
        <scheme val="minor"/>
      </rPr>
      <t xml:space="preserve"> Localitate cu peste 50 de locuitori; în prezent, în acestă localitate nu există un sistem de alimentare cu apă centralizat;
2.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cap locuitor; 
</t>
    </r>
    <r>
      <rPr>
        <b/>
        <sz val="11"/>
        <color theme="1"/>
        <rFont val="Calibri"/>
        <family val="2"/>
        <scheme val="minor"/>
      </rPr>
      <t>4.</t>
    </r>
    <r>
      <rPr>
        <sz val="11"/>
        <color theme="1"/>
        <rFont val="Calibri"/>
        <family val="2"/>
        <scheme val="minor"/>
      </rPr>
      <t>Comuna Târlișua este membră ADI - Apă - Canalizare Bistrița.</t>
    </r>
  </si>
  <si>
    <r>
      <rPr>
        <b/>
        <sz val="11"/>
        <color theme="1"/>
        <rFont val="Calibri"/>
        <family val="2"/>
        <scheme val="minor"/>
      </rPr>
      <t>1.</t>
    </r>
    <r>
      <rPr>
        <sz val="11"/>
        <color theme="1"/>
        <rFont val="Calibri"/>
        <family val="2"/>
        <scheme val="minor"/>
      </rPr>
      <t xml:space="preserve"> Localitate cu peste 50 de locuitori; în prezent, în acestă localitate nu există un sistem de alimentare cu apă centralizat;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cap locuitor; 
</t>
    </r>
    <r>
      <rPr>
        <b/>
        <sz val="11"/>
        <color theme="1"/>
        <rFont val="Calibri"/>
        <family val="2"/>
        <scheme val="minor"/>
      </rPr>
      <t>4.</t>
    </r>
    <r>
      <rPr>
        <sz val="11"/>
        <color theme="1"/>
        <rFont val="Calibri"/>
        <family val="2"/>
        <scheme val="minor"/>
      </rPr>
      <t xml:space="preserve"> Comuna Târlișua este membră ADI - Apă - Canalizare Bistrița.</t>
    </r>
  </si>
  <si>
    <r>
      <rPr>
        <b/>
        <sz val="11"/>
        <color theme="1"/>
        <rFont val="Calibri"/>
        <family val="2"/>
        <scheme val="minor"/>
      </rPr>
      <t>1.</t>
    </r>
    <r>
      <rPr>
        <sz val="11"/>
        <color theme="1"/>
        <rFont val="Calibri"/>
        <family val="2"/>
        <scheme val="minor"/>
      </rPr>
      <t xml:space="preserve"> Localitate cu peste 50 de locuitori; în prezent, în acestă localitate nu există un sistem de alimentare cu apă centralizat;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 xml:space="preserve">3. </t>
    </r>
    <r>
      <rPr>
        <sz val="11"/>
        <color theme="1"/>
        <rFont val="Calibri"/>
        <family val="2"/>
        <scheme val="minor"/>
      </rPr>
      <t xml:space="preserve">Investiții în sistemul de alimentare cu apa: aprox.1.000 Euro / cap locuitor; 
</t>
    </r>
    <r>
      <rPr>
        <b/>
        <sz val="11"/>
        <color theme="1"/>
        <rFont val="Calibri"/>
        <family val="2"/>
        <scheme val="minor"/>
      </rPr>
      <t>4.</t>
    </r>
    <r>
      <rPr>
        <sz val="11"/>
        <color theme="1"/>
        <rFont val="Calibri"/>
        <family val="2"/>
        <scheme val="minor"/>
      </rPr>
      <t>Comuna Târlișua este membră ADI - Apă - Canalizare Bistrița.</t>
    </r>
  </si>
  <si>
    <r>
      <rPr>
        <b/>
        <sz val="11"/>
        <color theme="1"/>
        <rFont val="Calibri"/>
        <family val="2"/>
        <scheme val="minor"/>
      </rPr>
      <t>1.</t>
    </r>
    <r>
      <rPr>
        <sz val="11"/>
        <color theme="1"/>
        <rFont val="Calibri"/>
        <family val="2"/>
        <scheme val="minor"/>
      </rPr>
      <t xml:space="preserve"> Localitate cu peste 50 de locuitori; în prezent, în acestă localitate nu există un sistem de alimentare cu apă centralizat;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cap locuitor; 
</t>
    </r>
    <r>
      <rPr>
        <b/>
        <sz val="11"/>
        <color theme="1"/>
        <rFont val="Calibri"/>
        <family val="2"/>
        <scheme val="minor"/>
      </rPr>
      <t xml:space="preserve">4. </t>
    </r>
    <r>
      <rPr>
        <sz val="11"/>
        <color theme="1"/>
        <rFont val="Calibri"/>
        <family val="2"/>
        <scheme val="minor"/>
      </rPr>
      <t>Comuna Zagra este membră ADI - Apă - Canalizare Bistrița.</t>
    </r>
  </si>
  <si>
    <t>Total investiție/ aglomerare/
cluster/
localitate</t>
  </si>
  <si>
    <r>
      <t>Rezervor nou de înmagazinare apă potabilă + stație de clorinare în localitatea Domnești, V = 200 m</t>
    </r>
    <r>
      <rPr>
        <vertAlign val="superscript"/>
        <sz val="11"/>
        <color theme="1"/>
        <rFont val="Calibri"/>
        <family val="2"/>
        <scheme val="minor"/>
      </rPr>
      <t>3</t>
    </r>
  </si>
  <si>
    <t>Total investiție pe aglomerare/
cluster/
localitate</t>
  </si>
  <si>
    <r>
      <rPr>
        <b/>
        <sz val="11"/>
        <color theme="1"/>
        <rFont val="Calibri"/>
        <family val="2"/>
        <scheme val="minor"/>
      </rPr>
      <t xml:space="preserve">1. </t>
    </r>
    <r>
      <rPr>
        <sz val="11"/>
        <color theme="1"/>
        <rFont val="Calibri"/>
        <family val="2"/>
        <scheme val="minor"/>
      </rPr>
      <t xml:space="preserve">Localități cu peste 50 de locuitori;
</t>
    </r>
    <r>
      <rPr>
        <b/>
        <sz val="11"/>
        <color theme="1"/>
        <rFont val="Calibri"/>
        <family val="2"/>
        <scheme val="minor"/>
      </rPr>
      <t xml:space="preserve">2. </t>
    </r>
    <r>
      <rPr>
        <sz val="11"/>
        <color theme="1"/>
        <rFont val="Calibri"/>
        <family val="2"/>
        <scheme val="minor"/>
      </rPr>
      <t xml:space="preserve">Asigurarea gradului de conectare de 100% până în 2015;
</t>
    </r>
    <r>
      <rPr>
        <b/>
        <sz val="11"/>
        <color theme="1"/>
        <rFont val="Calibri"/>
        <family val="2"/>
        <scheme val="minor"/>
      </rPr>
      <t xml:space="preserve">3. </t>
    </r>
    <r>
      <rPr>
        <sz val="11"/>
        <color theme="1"/>
        <rFont val="Calibri"/>
        <family val="2"/>
        <scheme val="minor"/>
      </rPr>
      <t xml:space="preserve">Investiții în sistemul de alimentare cu apa: aprox.. 1.000 Euro / locuitor; 
</t>
    </r>
    <r>
      <rPr>
        <b/>
        <sz val="11"/>
        <color theme="1"/>
        <rFont val="Calibri"/>
        <family val="2"/>
        <scheme val="minor"/>
      </rPr>
      <t xml:space="preserve">4. </t>
    </r>
    <r>
      <rPr>
        <sz val="11"/>
        <color theme="1"/>
        <rFont val="Calibri"/>
        <family val="2"/>
        <scheme val="minor"/>
      </rPr>
      <t xml:space="preserve">Comuna Budacu de Jos este membră ADI - Apă - Canalizare Bistrița.
</t>
    </r>
  </si>
  <si>
    <t>Herina</t>
  </si>
  <si>
    <t>Stație de epurare nouă, capacitate 650 L.E. pentru localitatea Herina</t>
  </si>
  <si>
    <t>Localitatea Galații Bistriței  este o aglomerare sub 2000 L.E. , motiv pentru care nu au fost propuse investiții în sistemul de canalizare prin fonduri de coeziune.</t>
  </si>
  <si>
    <t>Localitatea Dipșa este o aglomerare sub 2000 L.E. , motiv pentru care nu au fost propuse investiții în sistemul de canalizare prin fonduri de coeziune.</t>
  </si>
  <si>
    <t>Localitatea Herina  este o aglomerare sub 2000 L.E. , motiv pentru care nu au fost propuse investiții în sistemul de canalizare prin fonduri de coeziune.</t>
  </si>
  <si>
    <t>Localitatea Dumbrava  este o aglomerare sub 2000 L.E. , motiv pentru care nu au fost propuse investiții în sistemul de canalizare prin fonduri de coeziune.</t>
  </si>
  <si>
    <r>
      <rPr>
        <b/>
        <sz val="11"/>
        <color theme="1"/>
        <rFont val="Calibri"/>
        <family val="2"/>
        <scheme val="minor"/>
      </rPr>
      <t>1.</t>
    </r>
    <r>
      <rPr>
        <sz val="11"/>
        <color theme="1"/>
        <rFont val="Calibri"/>
        <family val="2"/>
        <scheme val="minor"/>
      </rPr>
      <t xml:space="preserve"> În prezent, în localitatea Șieu există o stație de epurare realizată pe Măsura 322. Stația a fost dimensioanată să preia și debitele de apă uzată din localitățile Ardan și Posmuș.
Deși cele două localități, Ardan și Posmuș sunt aglomerări sub 2000 L.E., în urma analizei tehnico- economice a rezultata faptul că este mai avantajoasă soluția de a colecta apele uzate la stația de epurare existentă din localitatea Șieu, decât realizarea unei stații de epurare monobloc pentru fiecare localitate în parte.
Totuși, cele 3 localități nu formează o aglomerare în adevăratul înțeles al Directivei, motiv penru care investițiile au fost propuse după perioada 2020.
</t>
    </r>
  </si>
  <si>
    <t>Buduș</t>
  </si>
  <si>
    <t>Monoriu</t>
  </si>
  <si>
    <t>Simionești</t>
  </si>
  <si>
    <t>Jelna</t>
  </si>
  <si>
    <t xml:space="preserve">Stație nouă de epurare - capacitate 
1 000L.E. pentru localitatea </t>
  </si>
  <si>
    <t xml:space="preserve">Stație nouă de epurare - capacitate 650 L.E. pentru localitatea </t>
  </si>
  <si>
    <t xml:space="preserve">Stație nouă de epurare - capacitate 500 L.E. pentru localitatea </t>
  </si>
  <si>
    <t xml:space="preserve">Stație nouă de epurare - capacitate 830 L.E. pentru localitatea </t>
  </si>
  <si>
    <t>Localitatea Ciceu - Mihăești este o aglomerare sub 2000 L.E. , motiv pentru care nu au fost propuse investiții în sistemul de canalizare prin fonduri de coeziune.</t>
  </si>
  <si>
    <t xml:space="preserve">Căianu Mic
+
Căianu Mare 
+
Dobric </t>
  </si>
  <si>
    <t>1. Localitatea Lechința formează o aglomerare peste 2000 L.E.
2. Investițiile în sistemul de canalizare max: 2000 euro/cap locuitor;
3. Asigurarea gradului de conectare de 100% pânâ în 2018;
4. Comuna Lechința este membră ADI - Apă - Canalizare Bistrița.</t>
  </si>
  <si>
    <t>1. În prezent, în localitatea Teaca există o SE realizată pe Măsura 3.2.2 care a fost dimensionată și pentru preluarea apelor uzate din localitatea Viile Tecii. Totuși, localitatea Viile Tecii nu formează o aglomerare peste 2000 L.E. motiv pentru care investițiile pentru sistemul de canalizare au fost prevăzute a fi realizate din alte fonduri.</t>
  </si>
  <si>
    <t>Soluție individuală de epurare pentru localitatea Măgurele</t>
  </si>
  <si>
    <t xml:space="preserve">Bistrița Bârgăului </t>
  </si>
  <si>
    <r>
      <t>Rezervor nou de înmagazinare a apei + stație de clorinare pentru zona turistică Colibița, V = 50 m</t>
    </r>
    <r>
      <rPr>
        <vertAlign val="superscript"/>
        <sz val="11"/>
        <rFont val="Calibri"/>
        <family val="2"/>
        <scheme val="minor"/>
      </rPr>
      <t>3</t>
    </r>
  </si>
  <si>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max. 1.000 Euro / locuitor; 
</t>
    </r>
    <r>
      <rPr>
        <b/>
        <sz val="11"/>
        <color theme="1"/>
        <rFont val="Calibri"/>
        <family val="2"/>
        <scheme val="minor"/>
      </rPr>
      <t>4.</t>
    </r>
    <r>
      <rPr>
        <sz val="11"/>
        <color theme="1"/>
        <rFont val="Calibri"/>
        <family val="2"/>
        <scheme val="minor"/>
      </rPr>
      <t xml:space="preserve"> Comuna Bistrița - Bârgăului este membră ADI - Apă - Canalizare Bistrița.</t>
    </r>
  </si>
  <si>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Comuna Bistrița - Bârgăului este membră ADI - Apă - Canalizare Bistrița.
</t>
    </r>
    <r>
      <rPr>
        <b/>
        <sz val="11"/>
        <color theme="1"/>
        <rFont val="Calibri"/>
        <family val="2"/>
        <scheme val="minor"/>
      </rPr>
      <t>4.</t>
    </r>
    <r>
      <rPr>
        <sz val="11"/>
        <color theme="1"/>
        <rFont val="Calibri"/>
        <family val="2"/>
        <scheme val="minor"/>
      </rPr>
      <t xml:space="preserve"> Din lacul de acumulare Colibița este alimentată cu apă stația de tratare Bistrița din care sunt alimentați cu apă potabilă peste 100 000 locuitori.</t>
    </r>
  </si>
  <si>
    <t>1. Localitatea Bistrița Bârgăului face parte din Aglomerarea Regională Bistrița.
2. Investițiile în sistemul de canalizare max: 2000 euro/cap locuitor;
3. Asigurarea gradului de conectare de 100% pânâ în 2018;
4. Continuarea lucrărilor ISPA
5. Comuna Bistrița - Bârgăului este membră ADI - Apă - Canalizare Bistrița.</t>
  </si>
  <si>
    <t>Localitatea Colibița nu formează o aglomerare peste 2000 L.E., însă neepurarea apelor uzate din zonă reprezintă o sursă majoră de poluare a apei din lacul de acumulare Colibița în care sunt deversate. Din lacul de acumulare Colibița este alimentată cu apă stația de tratare Bistrița din care sunt alimentați cu apă potabilă peste 120 000 locuitori.</t>
  </si>
  <si>
    <t>Înlocuire rețea de canalizare din beton în localitatea Colibița, Dn 315 mm, PVC</t>
  </si>
  <si>
    <t>Soluție individuală de epurare pentru localitatea Valea Poienii</t>
  </si>
  <si>
    <r>
      <t>Rezervor nou de înmagazinare a apei și stație de clorinare pentru Comuna Budacu de Jos, V = 200 m</t>
    </r>
    <r>
      <rPr>
        <vertAlign val="superscript"/>
        <sz val="11"/>
        <color theme="1"/>
        <rFont val="Calibri"/>
        <family val="2"/>
        <scheme val="minor"/>
      </rPr>
      <t>3</t>
    </r>
  </si>
  <si>
    <t>Localitatea Budacu de Jos  este o aglomerare sub 2000 L.E. , motiv pentru care nu au fost propuse investiții în sistemul de canalizare prin fonduri de coeziune.</t>
  </si>
  <si>
    <t>Localitatea Buduș  este o aglomerare sub 2000 L.E. , motiv pentru care nu au fost propuse investiții în sistemul de canalizare prin fonduri de coeziune.</t>
  </si>
  <si>
    <t>Localitatea Monoriu  este o aglomerare sub 2000 L.E. , motiv pentru care nu au fost propuse investiții în sistemul de canalizare prin fonduri de coeziune.</t>
  </si>
  <si>
    <t>Localitatea Simionești  este o aglomerare sub 2000 L.E. , motiv pentru care nu au fost propuse investiții în sistemul de canalizare prin fonduri de coeziune.</t>
  </si>
  <si>
    <t>Localitatea Jelna  este o aglomerare sub 2000 L.E. , motiv pentru care nu au fost propuse investiții în sistemul de canalizare prin fonduri de coeziune.</t>
  </si>
  <si>
    <t>Stație nouă de epurare - capacitate 1000 L.E. pentru localitatea Șinterag</t>
  </si>
  <si>
    <t>Stație nouă de epurare - capacitate 1000 L.E. pentru localitatea Cociu</t>
  </si>
  <si>
    <t>Cociu</t>
  </si>
  <si>
    <t>Localitatea Șintereag este o aglomerare sub 2000 L.E. , motiv pentru care nu au fost propuse investiții în sistemul de canalizare prin fonduri de coeziune.</t>
  </si>
  <si>
    <t>Localitatea Cociu este o aglomerare sub 2000 L.E. , motiv pentru care nu au fost propuse investiții în sistemul de canalizare prin fonduri de coeziune.</t>
  </si>
  <si>
    <t>Soluție individuală de epurare pentru localitatea Hășmașu Ciceului</t>
  </si>
  <si>
    <t>Stație nouă de epurare în localitatea Budacu de Sus, capacitate: 2000 L.E.</t>
  </si>
  <si>
    <t>Ragla</t>
  </si>
  <si>
    <t>Stație nouă de epurare în localitatea Dumitrița, capacitate: 830 L.E.</t>
  </si>
  <si>
    <r>
      <rPr>
        <b/>
        <sz val="11"/>
        <color theme="1"/>
        <rFont val="Calibri"/>
        <family val="2"/>
        <scheme val="minor"/>
      </rPr>
      <t>1.</t>
    </r>
    <r>
      <rPr>
        <sz val="11"/>
        <color theme="1"/>
        <rFont val="Calibri"/>
        <family val="2"/>
        <scheme val="minor"/>
      </rPr>
      <t xml:space="preserve"> Localitatea Budacu de Sus formează o aglomerare peste 2000 L.E.
</t>
    </r>
    <r>
      <rPr>
        <b/>
        <sz val="11"/>
        <color theme="1"/>
        <rFont val="Calibri"/>
        <family val="2"/>
        <scheme val="minor"/>
      </rPr>
      <t>2.</t>
    </r>
    <r>
      <rPr>
        <sz val="11"/>
        <color theme="1"/>
        <rFont val="Calibri"/>
        <family val="2"/>
        <scheme val="minor"/>
      </rPr>
      <t xml:space="preserve"> Investițiile în sistemul de canalizare max: 2000 euro/cap locuitor;
</t>
    </r>
    <r>
      <rPr>
        <b/>
        <sz val="11"/>
        <color theme="1"/>
        <rFont val="Calibri"/>
        <family val="2"/>
        <scheme val="minor"/>
      </rPr>
      <t>3.</t>
    </r>
    <r>
      <rPr>
        <sz val="11"/>
        <color theme="1"/>
        <rFont val="Calibri"/>
        <family val="2"/>
        <scheme val="minor"/>
      </rPr>
      <t xml:space="preserve"> Asigurarea gradului de conectare de 100% pânâ în 2018;
</t>
    </r>
    <r>
      <rPr>
        <b/>
        <sz val="11"/>
        <color theme="1"/>
        <rFont val="Calibri"/>
        <family val="2"/>
        <scheme val="minor"/>
      </rPr>
      <t xml:space="preserve">4. </t>
    </r>
    <r>
      <rPr>
        <sz val="11"/>
        <color theme="1"/>
        <rFont val="Calibri"/>
        <family val="2"/>
        <scheme val="minor"/>
      </rPr>
      <t xml:space="preserve">Comuna Dumitrița este membră ADI - Apă - Canalizare Bistrița.
</t>
    </r>
  </si>
  <si>
    <t>Stație nouă de epurare în localitatea Ragla, capacitate: 400 L.E.</t>
  </si>
  <si>
    <t>Localitatea Ragla este o aglomerare sub 2000 L.E. , motiv pentru care nu au fost propuse investiții în sistemul de canalizare prin fonduri de coeziune.</t>
  </si>
  <si>
    <t>Localitatea Dumitrița este o aglomerare sub 2000 L.E. , motiv pentru care nu au fost propuse investiții în sistemul de canalizare prin fonduri de coeziune.</t>
  </si>
  <si>
    <t>Stație nouă de epurare pentru localitățile Căianu Mic, Căianu Mare și Dobric -capacitate: 3500 L.E:</t>
  </si>
  <si>
    <t>În urma discuțiilor purtate cu proiectantul Contractului de Lucrări CL2 am aflat ca stațiile de pompare, cât și colectorul de transfer ape uzate către Stația de Epurare Beclean, nu au fost dimensionate și pentru preluarea apelor uzate din Comuna Căianu Mic , fapt pentru care, în Master Planul actualizat a fost adoptată o stație de epurare locală pentru Comuna Căianu Mic, soluție care s-a dovedit mult mai economică, decât mărirea capacității pompelor și a colectorului.</t>
  </si>
  <si>
    <t>Stație nouă de epurare pentru localitatea Ciceu - Giurgești, capacitate: 1000 L.E</t>
  </si>
  <si>
    <t>Localitatea Ciceu - Giurgești este o aglomerare sub 2000 L.E. , motiv pentru care nu au fost propuse investiții în sistemul de canalizare prin fonduri de coeziune.</t>
  </si>
  <si>
    <t>Localitatea Leșu este o aglomerare sub 2000 L.E. , motiv pentru care nu au fost propuse investiții în sistemul de canalizare prin fonduri de coeziune.</t>
  </si>
  <si>
    <t>Localitatea Lunca Leșului este o aglomerare sub 2000 L.E. , motiv pentru care nu au fost propuse investiții în sistemul de canalizare prin fonduri de coeziune.</t>
  </si>
  <si>
    <t>Stație nouă de epurare în localitatea Negrilești - capacitate: 1300 L.E.</t>
  </si>
  <si>
    <t xml:space="preserve">Negrilești </t>
  </si>
  <si>
    <t>Breaza</t>
  </si>
  <si>
    <t>Stație nouă de epurare în localitatea Breaza - capacitate: 1000 L.E.</t>
  </si>
  <si>
    <t>Localitatea Negrilești este o aglomerare sub 2000 L.E. , motiv pentru care nu au fost propuse investiții în sistemul de canalizare prin fonduri de coeziune.</t>
  </si>
  <si>
    <t>Localitatea Breaza este o aglomerare sub 2000 L.E. , motiv pentru care nu au fost propuse investiții în sistemul de canalizare prin fonduri de coeziune.</t>
  </si>
  <si>
    <t>Mocod</t>
  </si>
  <si>
    <t>Stație nouă de epurare compactă în localiatea Mocod - capacitate: 650 L.E.</t>
  </si>
  <si>
    <t>Nimigea de Jos 
+
Florești</t>
  </si>
  <si>
    <t>Stație nouă de epurare  în localiatea Nimigea de Jos - capacitate: 2000 L.E. Pentru localitățile Nimigea de Jos și Florești</t>
  </si>
  <si>
    <t>Stație nouă de epurare compactă în localiatea Taure - capacitate: 800 L.E.</t>
  </si>
  <si>
    <t>Localitatea Mocod este o aglomerare sub 2000 L.E. , motiv pentru care nu au fost propuse investiții în sistemul de canalizare prin fonduri de coeziune.</t>
  </si>
  <si>
    <t>Localitatea Mititei este o aglomerare sub 2000 L.E. , motiv pentru care nu au fost propuse investiții în sistemul de canalizare prin fonduri de coeziune.</t>
  </si>
  <si>
    <r>
      <rPr>
        <b/>
        <sz val="11"/>
        <color theme="1"/>
        <rFont val="Calibri"/>
        <family val="2"/>
        <scheme val="minor"/>
      </rPr>
      <t>1.</t>
    </r>
    <r>
      <rPr>
        <sz val="11"/>
        <color theme="1"/>
        <rFont val="Calibri"/>
        <family val="2"/>
        <scheme val="minor"/>
      </rPr>
      <t xml:space="preserve"> Cele două localități formează o aglomerare peste 2000 L.E.
</t>
    </r>
    <r>
      <rPr>
        <b/>
        <sz val="11"/>
        <color theme="1"/>
        <rFont val="Calibri"/>
        <family val="2"/>
        <scheme val="minor"/>
      </rPr>
      <t>2.</t>
    </r>
    <r>
      <rPr>
        <sz val="11"/>
        <color theme="1"/>
        <rFont val="Calibri"/>
        <family val="2"/>
        <scheme val="minor"/>
      </rPr>
      <t xml:space="preserve"> Investițiile în sistemul de canalizare max: 2000 euro/cap locuitor;
</t>
    </r>
    <r>
      <rPr>
        <b/>
        <sz val="11"/>
        <color theme="1"/>
        <rFont val="Calibri"/>
        <family val="2"/>
        <scheme val="minor"/>
      </rPr>
      <t>3.</t>
    </r>
    <r>
      <rPr>
        <sz val="11"/>
        <color theme="1"/>
        <rFont val="Calibri"/>
        <family val="2"/>
        <scheme val="minor"/>
      </rPr>
      <t xml:space="preserve"> Asigurarea gradului de conectare de 100% pânâ în 2018;
</t>
    </r>
    <r>
      <rPr>
        <b/>
        <sz val="11"/>
        <color theme="1"/>
        <rFont val="Calibri"/>
        <family val="2"/>
        <scheme val="minor"/>
      </rPr>
      <t>4.</t>
    </r>
    <r>
      <rPr>
        <sz val="11"/>
        <color theme="1"/>
        <rFont val="Calibri"/>
        <family val="2"/>
        <scheme val="minor"/>
      </rPr>
      <t xml:space="preserve">Comuna Nimigea este membră ADI - Apă - Canalizare Bistrița.
</t>
    </r>
  </si>
  <si>
    <t>Stație nouă de epurare pentru  localitatea Dumbrăvița - capacitate 750 L.E.</t>
  </si>
  <si>
    <t>Localitatea  Dumbrăvița este o aglomerare sub 2000 L.E. , motiv pentru care nu au fost propuse investiții în sistemul de canalizare prin fonduri de coeziune.</t>
  </si>
  <si>
    <t xml:space="preserve">Spermezeu </t>
  </si>
  <si>
    <t>Stație nouă de epurare pentru  localitatea Spermezeu - capacitate 1500 L.E.</t>
  </si>
  <si>
    <t>Localitatea  Spermezeu este o aglomerare sub 2000 L.E. , motiv pentru care nu au fost propuse investiții în sistemul de canalizare prin fonduri de coeziune.</t>
  </si>
  <si>
    <t>Lunca Borlesei</t>
  </si>
  <si>
    <t>Soluție individuală de epurare pentru  localitatea Lunca Borlesei</t>
  </si>
  <si>
    <t>Sita</t>
  </si>
  <si>
    <t>Stație nouă de epurare pentru  localitatea Sita - capacitate 400 L.E.</t>
  </si>
  <si>
    <t>Localitatea Lunca Borlesei este o aglomerare sub 2000 L.E. , motiv pentru care nu au fost propuse investiții în sistemul de canalizare prin fonduri de coeziune.</t>
  </si>
  <si>
    <t>Localitatea Sita este o aglomerare sub 2000 L.E. , motiv pentru care nu au fost propuse investiții în sistemul de canalizare prin fonduri de coeziune.</t>
  </si>
  <si>
    <t xml:space="preserve">Zagra
</t>
  </si>
  <si>
    <t>Stație nouă de epurare pentru localitatea Zagra - capacitate 1200 L.E.</t>
  </si>
  <si>
    <t>Poienile Zagrei</t>
  </si>
  <si>
    <t>Stație nouă de epurare pentru localitatea Poienile Zagrei - capacitate 1000 L.E.</t>
  </si>
  <si>
    <t>Localitatea Zagra  este o aglomerare sub 2000 L.E. , motiv pentru care nu au fost propuse investiții în sistemul de canalizare prin fonduri de coeziune.</t>
  </si>
  <si>
    <t>Localitatea Poienile Zagrei  este o aglomerare sub 2000 L.E. , motiv pentru care nu au fost propuse investiții în sistemul de canalizare prin fonduri de coeziune.</t>
  </si>
  <si>
    <t>Soluție individuală de epurare pentru localitatea Alunișul</t>
  </si>
  <si>
    <t>Dumitra</t>
  </si>
  <si>
    <t>Extindere rețea de distribuție în localitatea Cepari, Dn 110 mm, PEHD</t>
  </si>
  <si>
    <t>Extindere rețea de distribuție în localitatea Tărpiu, Dn 110 mm, PEHD</t>
  </si>
  <si>
    <t>Extindere rețea de canalizare în localitatea Dumitra, Dn 250 mm, PVC</t>
  </si>
  <si>
    <t>Extindere rețea de canalizare în localitatea Cepari, Dn 250 mm, PVC</t>
  </si>
  <si>
    <t>Extindere rețea de canalizare în localitatea Tărpiu, Dn 250 mm, PVC</t>
  </si>
  <si>
    <t>Total apă uzată Comuna Dumitra</t>
  </si>
  <si>
    <t>Total Comuna Dumitra</t>
  </si>
  <si>
    <r>
      <rPr>
        <b/>
        <sz val="11"/>
        <color theme="1"/>
        <rFont val="Calibri"/>
        <family val="2"/>
        <scheme val="minor"/>
      </rPr>
      <t>1.</t>
    </r>
    <r>
      <rPr>
        <sz val="11"/>
        <color theme="1"/>
        <rFont val="Calibri"/>
        <family val="2"/>
        <scheme val="minor"/>
      </rPr>
      <t xml:space="preserve"> Localități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cap locuitor; 
</t>
    </r>
    <r>
      <rPr>
        <b/>
        <sz val="11"/>
        <color theme="1"/>
        <rFont val="Calibri"/>
        <family val="2"/>
        <scheme val="minor"/>
      </rPr>
      <t xml:space="preserve">4. </t>
    </r>
    <r>
      <rPr>
        <sz val="11"/>
        <color theme="1"/>
        <rFont val="Calibri"/>
        <family val="2"/>
        <scheme val="minor"/>
      </rPr>
      <t>Comuna Dumitra este membră ADI - Apă - Canalizare Bistrița.</t>
    </r>
    <r>
      <rPr>
        <b/>
        <sz val="11"/>
        <color theme="1"/>
        <rFont val="Calibri"/>
        <family val="2"/>
        <scheme val="minor"/>
      </rPr>
      <t/>
    </r>
  </si>
  <si>
    <r>
      <rPr>
        <b/>
        <sz val="11"/>
        <color theme="1"/>
        <rFont val="Calibri"/>
        <family val="2"/>
        <scheme val="minor"/>
      </rPr>
      <t>1.</t>
    </r>
    <r>
      <rPr>
        <sz val="11"/>
        <color theme="1"/>
        <rFont val="Calibri"/>
        <family val="2"/>
        <scheme val="minor"/>
      </rPr>
      <t xml:space="preserve"> Cele 3 localități formează o  aglomerare rurală. 
</t>
    </r>
    <r>
      <rPr>
        <b/>
        <sz val="11"/>
        <color theme="1"/>
        <rFont val="Calibri"/>
        <family val="2"/>
        <scheme val="minor"/>
      </rPr>
      <t>2.</t>
    </r>
    <r>
      <rPr>
        <sz val="11"/>
        <color theme="1"/>
        <rFont val="Calibri"/>
        <family val="2"/>
        <scheme val="minor"/>
      </rPr>
      <t xml:space="preserve"> Investițiile în sistemul de canalizare max: 2000 euro/cap locuitor;
</t>
    </r>
    <r>
      <rPr>
        <b/>
        <sz val="11"/>
        <color theme="1"/>
        <rFont val="Calibri"/>
        <family val="2"/>
        <scheme val="minor"/>
      </rPr>
      <t>3.</t>
    </r>
    <r>
      <rPr>
        <sz val="11"/>
        <color theme="1"/>
        <rFont val="Calibri"/>
        <family val="2"/>
        <scheme val="minor"/>
      </rPr>
      <t xml:space="preserve"> Asigurarea gradului de conectare de 100% pânâ în 2018;
</t>
    </r>
    <r>
      <rPr>
        <b/>
        <sz val="11"/>
        <color theme="1"/>
        <rFont val="Calibri"/>
        <family val="2"/>
        <scheme val="minor"/>
      </rPr>
      <t>4.</t>
    </r>
    <r>
      <rPr>
        <sz val="11"/>
        <color theme="1"/>
        <rFont val="Calibri"/>
        <family val="2"/>
        <scheme val="minor"/>
      </rPr>
      <t xml:space="preserve"> Comuna Dumitra este membră ADI - Apă - Canalizare Bistrița.
</t>
    </r>
  </si>
  <si>
    <t>Rețea nouă de distribuție în localitatea Negrilești, Dn 110 mm, PEHD</t>
  </si>
  <si>
    <t>Extinderea conductei de aducțiune din Negrilești în Breaza, Dn 200 mm, PEHD</t>
  </si>
  <si>
    <t>Stație nouă de pompare apă potabilă în localitatea Breaza</t>
  </si>
  <si>
    <r>
      <t>Rezervor nou de înmagazinare + stație de clorinare în localitatea Breaza, V = 500 m</t>
    </r>
    <r>
      <rPr>
        <vertAlign val="superscript"/>
        <sz val="11"/>
        <color theme="1"/>
        <rFont val="Calibri"/>
        <family val="2"/>
        <scheme val="minor"/>
      </rPr>
      <t>3</t>
    </r>
  </si>
  <si>
    <t>Total alimentare cu apă Comuna Negrilești</t>
  </si>
  <si>
    <t>Măgura Ilvei</t>
  </si>
  <si>
    <t>Sistem rural de alimentare cu apă</t>
  </si>
  <si>
    <t xml:space="preserve">
Orosfaia
+
Comlod 
+
Milaș</t>
  </si>
  <si>
    <t>Conductă nouă de aducțiune din localitatea Orosfaia pentru localitatea Milaș, Dn 110 mm, PEHD</t>
  </si>
  <si>
    <t>Arșița</t>
  </si>
  <si>
    <t>Rețea de distribuție nouă pentru localitatea Măgura Ilvei, Dn 110 mm, PEHD</t>
  </si>
  <si>
    <r>
      <t>Rezervor nou de înmagazinare și stație de clorinare pentru localitatea Măgura Ilvei, 
V = 200 m</t>
    </r>
    <r>
      <rPr>
        <vertAlign val="superscript"/>
        <sz val="11"/>
        <color theme="1"/>
        <rFont val="Calibri"/>
        <family val="2"/>
        <scheme val="minor"/>
      </rPr>
      <t>3</t>
    </r>
  </si>
  <si>
    <t>Rețea de distribuție nouă pentru localitatea Măgura Ilvei, Dn 90 mm, PEHD</t>
  </si>
  <si>
    <t>Rețea de distribuție nouă pentru localitatea Măgura Ilvei, Dn 160 mm, PEHD</t>
  </si>
  <si>
    <t>Total alimentare cu apă Comuna Măgura Ilvei</t>
  </si>
  <si>
    <t>Sistem rural de canalizare</t>
  </si>
  <si>
    <t>Stație nouă de epurare - capacitate 1700 L.E. pentru localitatea Măgura Ilvei</t>
  </si>
  <si>
    <t>Stație nouă de pompare pe rețeaua de canalizare a localității Măgura Ilvei</t>
  </si>
  <si>
    <t>Rețea de canalizare</t>
  </si>
  <si>
    <t>Rețea nouă de canalizare în localitatea Măgura Ilvei, Dn 250 mm, PVC</t>
  </si>
  <si>
    <t>Total apă uzată Comuna Măgura Ilvei</t>
  </si>
  <si>
    <t>Total Comuna Măgura Ilvei</t>
  </si>
  <si>
    <t>Stație nouă de epurare - capacitate 400 L.E. pentru localitatea Arșița</t>
  </si>
  <si>
    <t>Rețea nouă de canalizare în localitatea Arșița, Dn 250 mm, PVC</t>
  </si>
  <si>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cap locuitor; 
</t>
    </r>
    <r>
      <rPr>
        <b/>
        <sz val="11"/>
        <color theme="1"/>
        <rFont val="Calibri"/>
        <family val="2"/>
        <scheme val="minor"/>
      </rPr>
      <t xml:space="preserve">4. </t>
    </r>
    <r>
      <rPr>
        <sz val="11"/>
        <color theme="1"/>
        <rFont val="Calibri"/>
        <family val="2"/>
        <scheme val="minor"/>
      </rPr>
      <t>Comuna Măgura Ilvei este membră ADI - Apă - Canalizare Bistrița.</t>
    </r>
    <r>
      <rPr>
        <b/>
        <sz val="11"/>
        <color theme="1"/>
        <rFont val="Calibri"/>
        <family val="2"/>
        <scheme val="minor"/>
      </rPr>
      <t/>
    </r>
  </si>
  <si>
    <t>Localitatea Arșița  este o aglomerare sub 2000 L.E. , motiv pentru care nu au fost propuse investiții în sistemul de canalizare prin fonduri de coeziune.</t>
  </si>
  <si>
    <t>Localitatea Măgura Ilvei este o aglomerare sub 2000 L.E. însă primăria a obținut fonduri din alte surse pentru realizarea investițiilor necesare sistemului de canalizare.</t>
  </si>
  <si>
    <t>PARVA</t>
  </si>
  <si>
    <t>Parva</t>
  </si>
  <si>
    <t xml:space="preserve">Reabilitare stație de tratare (clorinare) </t>
  </si>
  <si>
    <t>Extindere rețea de distribuție în localitatea Parva, Dn 110 mm, PEHD</t>
  </si>
  <si>
    <t>Total alimentare cu apă Comuna Parva</t>
  </si>
  <si>
    <r>
      <rPr>
        <b/>
        <sz val="11"/>
        <color theme="1"/>
        <rFont val="Calibri"/>
        <family val="2"/>
        <scheme val="minor"/>
      </rPr>
      <t>1.</t>
    </r>
    <r>
      <rPr>
        <sz val="11"/>
        <color theme="1"/>
        <rFont val="Calibri"/>
        <family val="2"/>
        <scheme val="minor"/>
      </rPr>
      <t xml:space="preserve"> Localitate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cap locuitor; 
</t>
    </r>
    <r>
      <rPr>
        <b/>
        <sz val="11"/>
        <color theme="1"/>
        <rFont val="Calibri"/>
        <family val="2"/>
        <scheme val="minor"/>
      </rPr>
      <t xml:space="preserve">4. </t>
    </r>
    <r>
      <rPr>
        <sz val="11"/>
        <color theme="1"/>
        <rFont val="Calibri"/>
        <family val="2"/>
        <scheme val="minor"/>
      </rPr>
      <t>Comuna Parva este membră ADI - Apă - Canalizare Bistrița.</t>
    </r>
    <r>
      <rPr>
        <b/>
        <sz val="11"/>
        <color theme="1"/>
        <rFont val="Calibri"/>
        <family val="2"/>
        <scheme val="minor"/>
      </rPr>
      <t/>
    </r>
  </si>
  <si>
    <t>Extindere rețea de canalizare în localitatea Parva, Dn 250 mm, PVC</t>
  </si>
  <si>
    <t>Total apă uzată Comuna Parva</t>
  </si>
  <si>
    <t>Total Comuna Parva</t>
  </si>
  <si>
    <r>
      <rPr>
        <b/>
        <sz val="11"/>
        <color theme="1"/>
        <rFont val="Calibri"/>
        <family val="2"/>
        <scheme val="minor"/>
      </rPr>
      <t>1.</t>
    </r>
    <r>
      <rPr>
        <sz val="11"/>
        <color theme="1"/>
        <rFont val="Calibri"/>
        <family val="2"/>
        <scheme val="minor"/>
      </rPr>
      <t xml:space="preserve"> Localitatea Parva formează o  aglomerare rurală peste 2000 L.E.. 
</t>
    </r>
    <r>
      <rPr>
        <b/>
        <sz val="11"/>
        <color theme="1"/>
        <rFont val="Calibri"/>
        <family val="2"/>
        <scheme val="minor"/>
      </rPr>
      <t>2.</t>
    </r>
    <r>
      <rPr>
        <sz val="11"/>
        <color theme="1"/>
        <rFont val="Calibri"/>
        <family val="2"/>
        <scheme val="minor"/>
      </rPr>
      <t xml:space="preserve"> Investițiile în sistemul de canalizare max: 2000 euro/cap locuitor;
</t>
    </r>
    <r>
      <rPr>
        <b/>
        <sz val="11"/>
        <color theme="1"/>
        <rFont val="Calibri"/>
        <family val="2"/>
        <scheme val="minor"/>
      </rPr>
      <t>3.</t>
    </r>
    <r>
      <rPr>
        <sz val="11"/>
        <color theme="1"/>
        <rFont val="Calibri"/>
        <family val="2"/>
        <scheme val="minor"/>
      </rPr>
      <t xml:space="preserve"> Asigurarea gradului de conectare de 100% pânâ în 2018;
</t>
    </r>
    <r>
      <rPr>
        <b/>
        <sz val="11"/>
        <color theme="1"/>
        <rFont val="Calibri"/>
        <family val="2"/>
        <scheme val="minor"/>
      </rPr>
      <t>4.</t>
    </r>
    <r>
      <rPr>
        <sz val="11"/>
        <color theme="1"/>
        <rFont val="Calibri"/>
        <family val="2"/>
        <scheme val="minor"/>
      </rPr>
      <t xml:space="preserve"> Comuna Parva este membră ADI - Apă - Canalizare Bistrița.
</t>
    </r>
  </si>
  <si>
    <t>Monor</t>
  </si>
  <si>
    <t>Extindere rețea de distribuție în localitatea Monor, Dn 110 mm, PEHD</t>
  </si>
  <si>
    <t>Extindere rețea de distribuție în localitatea Monor, Dn 63 mm, PEHD</t>
  </si>
  <si>
    <t>Extindere rețea de distribuție în localitatea Monor, Dn 75 mm, PEHD</t>
  </si>
  <si>
    <r>
      <t>Reabilitare rezervor, capacitate V = 200 m</t>
    </r>
    <r>
      <rPr>
        <vertAlign val="superscript"/>
        <sz val="11"/>
        <color theme="1"/>
        <rFont val="Calibri"/>
        <family val="2"/>
        <scheme val="minor"/>
      </rPr>
      <t>3</t>
    </r>
  </si>
  <si>
    <t>Reabilitare conductă de aducțiune, Dn 110 mm, PEHD</t>
  </si>
  <si>
    <t>Stație de clorinare nouă pentru localitatea Monor</t>
  </si>
  <si>
    <t>Gledin</t>
  </si>
  <si>
    <t>Extindere rețea de distribuție în localitatea Gledin, Dn 63 mm, PEHD</t>
  </si>
  <si>
    <t>Extindere rețea de distribuție în localitatea Gledin, Dn 75 mm, PEHD</t>
  </si>
  <si>
    <t>Extindere rețea de distribuție în localitatea Gledin, Dn 110 mm, PEHD</t>
  </si>
  <si>
    <r>
      <t>Reabilitare rezervor, capacitate V = 60 m</t>
    </r>
    <r>
      <rPr>
        <vertAlign val="superscript"/>
        <sz val="11"/>
        <color theme="1"/>
        <rFont val="Calibri"/>
        <family val="2"/>
        <scheme val="minor"/>
      </rPr>
      <t xml:space="preserve">3 </t>
    </r>
    <r>
      <rPr>
        <sz val="11"/>
        <color theme="1"/>
        <rFont val="Calibri"/>
        <family val="2"/>
        <scheme val="minor"/>
      </rPr>
      <t>+ stație de clorinare</t>
    </r>
  </si>
  <si>
    <r>
      <t>Reabilitare rezervor, capacitate V = 40 m</t>
    </r>
    <r>
      <rPr>
        <vertAlign val="superscript"/>
        <sz val="11"/>
        <color theme="1"/>
        <rFont val="Calibri"/>
        <family val="2"/>
        <scheme val="minor"/>
      </rPr>
      <t xml:space="preserve">3 </t>
    </r>
    <r>
      <rPr>
        <sz val="11"/>
        <color theme="1"/>
        <rFont val="Calibri"/>
        <family val="2"/>
        <scheme val="minor"/>
      </rPr>
      <t xml:space="preserve"> + stație de clorinare</t>
    </r>
  </si>
  <si>
    <r>
      <rPr>
        <b/>
        <sz val="11"/>
        <color theme="1"/>
        <rFont val="Calibri"/>
        <family val="2"/>
        <scheme val="minor"/>
      </rPr>
      <t>1.</t>
    </r>
    <r>
      <rPr>
        <sz val="11"/>
        <color theme="1"/>
        <rFont val="Calibri"/>
        <family val="2"/>
        <scheme val="minor"/>
      </rPr>
      <t xml:space="preserve"> Localități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cap locuitor; 
</t>
    </r>
    <r>
      <rPr>
        <b/>
        <sz val="11"/>
        <color theme="1"/>
        <rFont val="Calibri"/>
        <family val="2"/>
        <scheme val="minor"/>
      </rPr>
      <t xml:space="preserve">4. </t>
    </r>
    <r>
      <rPr>
        <sz val="11"/>
        <color theme="1"/>
        <rFont val="Calibri"/>
        <family val="2"/>
        <scheme val="minor"/>
      </rPr>
      <t>Comuna Monor este membră ADI - Apă - Canalizare Mureș.</t>
    </r>
    <r>
      <rPr>
        <b/>
        <sz val="11"/>
        <color theme="1"/>
        <rFont val="Calibri"/>
        <family val="2"/>
        <scheme val="minor"/>
      </rPr>
      <t/>
    </r>
  </si>
  <si>
    <t>Total alimentare cu apă Comuna Monor</t>
  </si>
  <si>
    <t>Stație de epurare nouă pentru localitatea Monor, capacitate 1000 L.E.</t>
  </si>
  <si>
    <t>Rețea de canalizare nouă pentru localitatea Monor, Dn 250 mm, PVC</t>
  </si>
  <si>
    <t>Stație de epurare nouă pentru localitatea Gledin, capacitate 600 L.E.</t>
  </si>
  <si>
    <t>Rețea de canalizare nouă pentru localitatea Gledin, Dn 250 mm, PVC</t>
  </si>
  <si>
    <t>Localitatea Monor  este o aglomerare sub 2000 L.E. , motiv pentru care nu au fost propuse investiții în sistemul de canalizare prin fonduri de coeziune.</t>
  </si>
  <si>
    <t>Localitatea Gledin  este o aglomerare sub 2000 L.E. , motiv pentru care nu au fost propuse investiții în sistemul de canalizare prin fonduri de coeziune.</t>
  </si>
  <si>
    <t>Total apă uzată Comuna Monor</t>
  </si>
  <si>
    <t>Total Comuna Monor</t>
  </si>
  <si>
    <t>Silivașul de Câmpie</t>
  </si>
  <si>
    <t>Mureș</t>
  </si>
  <si>
    <t>Extindere rețea de distribuție în localitatea Silivașul de Câmpie, Dn 110 mm, PEHD</t>
  </si>
  <si>
    <t>Fânațele Silivașului</t>
  </si>
  <si>
    <t>Extindere rețea de distribuție în localitatea Fânațele Silivașului, Dn 110 mm, PEHD</t>
  </si>
  <si>
    <t>Total alimentare cu apă Comuna Silivașul de Câmpie</t>
  </si>
  <si>
    <r>
      <rPr>
        <b/>
        <sz val="11"/>
        <color theme="1"/>
        <rFont val="Calibri"/>
        <family val="2"/>
        <scheme val="minor"/>
      </rPr>
      <t>1.</t>
    </r>
    <r>
      <rPr>
        <sz val="11"/>
        <color theme="1"/>
        <rFont val="Calibri"/>
        <family val="2"/>
        <scheme val="minor"/>
      </rPr>
      <t xml:space="preserve"> Localități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cap locuitor; 
</t>
    </r>
    <r>
      <rPr>
        <b/>
        <sz val="11"/>
        <color theme="1"/>
        <rFont val="Calibri"/>
        <family val="2"/>
        <scheme val="minor"/>
      </rPr>
      <t xml:space="preserve">4. </t>
    </r>
    <r>
      <rPr>
        <sz val="11"/>
        <color theme="1"/>
        <rFont val="Calibri"/>
        <family val="2"/>
        <scheme val="minor"/>
      </rPr>
      <t>Comuna Silivașul de Câmpie este membră ADI - Apă - Canalizare Mureș.</t>
    </r>
    <r>
      <rPr>
        <b/>
        <sz val="11"/>
        <color theme="1"/>
        <rFont val="Calibri"/>
        <family val="2"/>
        <scheme val="minor"/>
      </rPr>
      <t/>
    </r>
  </si>
  <si>
    <t>Total Comuna Silivașul de Câmpie</t>
  </si>
  <si>
    <t>Urmeniș</t>
  </si>
  <si>
    <t>Extindere rețea de distribuție în localitatea Urmeniș, Dn 110 mm, PEHD</t>
  </si>
  <si>
    <t>Șopteriu</t>
  </si>
  <si>
    <t>Extindere rețea de distribuție în localitatea Șopteriu, Dn 110 mm, PEHD</t>
  </si>
  <si>
    <t>Delureni</t>
  </si>
  <si>
    <t>Extindere rețea de distribuție în localitatea Delureni, Dn 110 mm, PEHD</t>
  </si>
  <si>
    <t>Total alimentare cu apă Comuna Urmeniș</t>
  </si>
  <si>
    <r>
      <rPr>
        <b/>
        <sz val="11"/>
        <color theme="1"/>
        <rFont val="Calibri"/>
        <family val="2"/>
        <scheme val="minor"/>
      </rPr>
      <t>1.</t>
    </r>
    <r>
      <rPr>
        <sz val="11"/>
        <color theme="1"/>
        <rFont val="Calibri"/>
        <family val="2"/>
        <scheme val="minor"/>
      </rPr>
      <t xml:space="preserve"> Localități cu peste 50 de locuitori;
</t>
    </r>
    <r>
      <rPr>
        <b/>
        <sz val="11"/>
        <color theme="1"/>
        <rFont val="Calibri"/>
        <family val="2"/>
        <scheme val="minor"/>
      </rPr>
      <t>2.</t>
    </r>
    <r>
      <rPr>
        <sz val="11"/>
        <color theme="1"/>
        <rFont val="Calibri"/>
        <family val="2"/>
        <scheme val="minor"/>
      </rPr>
      <t xml:space="preserve"> Asigurarea gradului de conectare de 100% până în 2015;
</t>
    </r>
    <r>
      <rPr>
        <b/>
        <sz val="11"/>
        <color theme="1"/>
        <rFont val="Calibri"/>
        <family val="2"/>
        <scheme val="minor"/>
      </rPr>
      <t>3.</t>
    </r>
    <r>
      <rPr>
        <sz val="11"/>
        <color theme="1"/>
        <rFont val="Calibri"/>
        <family val="2"/>
        <scheme val="minor"/>
      </rPr>
      <t xml:space="preserve"> Investiții în sistemul de alimentare cu apa: aprox.1.000 Euro / cap locuitor; 
</t>
    </r>
    <r>
      <rPr>
        <b/>
        <sz val="11"/>
        <color theme="1"/>
        <rFont val="Calibri"/>
        <family val="2"/>
        <scheme val="minor"/>
      </rPr>
      <t xml:space="preserve">4. </t>
    </r>
    <r>
      <rPr>
        <sz val="11"/>
        <color theme="1"/>
        <rFont val="Calibri"/>
        <family val="2"/>
        <scheme val="minor"/>
      </rPr>
      <t>Comuna Urmeniș este membră ADI - Apă - Canalizare Mureș.</t>
    </r>
    <r>
      <rPr>
        <b/>
        <sz val="11"/>
        <color theme="1"/>
        <rFont val="Calibri"/>
        <family val="2"/>
        <scheme val="minor"/>
      </rPr>
      <t/>
    </r>
  </si>
  <si>
    <t>Rețea de canalizare nouă pentru localitatea Urmeniș, Dn 250 mm, PVC</t>
  </si>
  <si>
    <t>Câmp</t>
  </si>
  <si>
    <t>Soluție individuală de epurare pentru localitatea Câmp</t>
  </si>
  <si>
    <t>Soluție individuală de epurare pentru localitatea Delureni</t>
  </si>
  <si>
    <t>Fânațe</t>
  </si>
  <si>
    <t>Soluție individuală de epurare pentru localitatea Fânațe</t>
  </si>
  <si>
    <t>Stație de epurare nouă pentru localitatea Șopteriu, capacitate 450 L.E.</t>
  </si>
  <si>
    <t>Rețea de canalizare nouă pentru localitatea Șopteriu, Dn 250 mm, PVC</t>
  </si>
  <si>
    <t>Localitatea Urmeniș  este o aglomerare sub 2000 L.E. , motiv pentru care nu au fost propuse investiții în sistemul de canalizare prin fonduri de coeziune.</t>
  </si>
  <si>
    <t>Localitatea Câmp  este o aglomerare sub 2000 L.E. , motiv pentru care nu au fost propuse investiții în sistemul de canalizare prin fonduri de coeziune.</t>
  </si>
  <si>
    <t>Localitatea Delureni  este o aglomerare sub 2000 L.E. , motiv pentru care nu au fost propuse investiții în sistemul de canalizare prin fonduri de coeziune.</t>
  </si>
  <si>
    <t>Localitatea Fânațe este o aglomerare sub 2000 L.E. , motiv pentru care nu au fost propuse investiții în sistemul de canalizare prin fonduri de coeziune.</t>
  </si>
  <si>
    <t>Localitatea Șopteriu  este o aglomerare sub 2000 L.E. , motiv pentru care nu au fost propuse investiții în sistemul de canalizare prin fonduri de coeziune.</t>
  </si>
  <si>
    <t>Total apă uzată Comuna Urmeniș</t>
  </si>
  <si>
    <t>Total Comuna Urmeniș</t>
  </si>
  <si>
    <t>Total alimentare cu apă Comuna Braniștea</t>
  </si>
  <si>
    <t>Conductă de aducțiune pentru Comuna Budești (branșarea la conducta de aducțiune existentă realizată pentru alimentare cu apă a localităților Matei și Corvinești din Comuna Matei), PEHD, 
Dn 250 mm</t>
  </si>
  <si>
    <t>Rețea de distribuție nouă pentru Comuna Budești, Dn 63 mm, PEHD</t>
  </si>
  <si>
    <t>Rețea de distribuție nouă pentru Comuna Budești, Dn 75 mm, PEHD</t>
  </si>
  <si>
    <t>Rețea de distribuție nouă pentru Comuna Budești, Dn 90 mm, PEHD</t>
  </si>
  <si>
    <t>Rețea de distribuție nouă pentru Comuna Budești, Dn 110 mm, PEHD</t>
  </si>
  <si>
    <t>Rețea de distribuție nouă pentru Comuna Budești, Dn 125 mm, PEHD</t>
  </si>
  <si>
    <t>Rețea de distribuție nouă pentru Comuna Budești, Dn 140 mm, PEHD</t>
  </si>
  <si>
    <t>Conductă de aducțiune pentru Comuna Miceștii de Câmpie (branșarea la conducta de aducțiune existentă din Comuna Matei), PEHD, Dn 250 mm</t>
  </si>
  <si>
    <r>
      <t>Rezervor nou de înmagazinare apă potabilă pentru localitatea Moruț, 
V = 100 m</t>
    </r>
    <r>
      <rPr>
        <vertAlign val="superscript"/>
        <sz val="11"/>
        <color theme="1"/>
        <rFont val="Calibri"/>
        <family val="2"/>
        <scheme val="minor"/>
      </rPr>
      <t>3</t>
    </r>
  </si>
  <si>
    <r>
      <t>Rezervor nou de înmagazinare apă + stație de clorinare în localitatea Bungard, 
V = 50 m</t>
    </r>
    <r>
      <rPr>
        <vertAlign val="superscript"/>
        <sz val="11"/>
        <color theme="1"/>
        <rFont val="Calibri"/>
        <family val="2"/>
        <scheme val="minor"/>
      </rPr>
      <t>3</t>
    </r>
  </si>
  <si>
    <t>Arteră principală de transport (punct branșare Archiud - localitatea Ocnița), 
Dn 125 mm, PEHD</t>
  </si>
  <si>
    <r>
      <t>Rezervor nou de înmagazinare a apei + stație de clorinare în localitaea Jimbor, 
V = 200 m</t>
    </r>
    <r>
      <rPr>
        <vertAlign val="superscript"/>
        <sz val="11"/>
        <color theme="1"/>
        <rFont val="Calibri"/>
        <family val="2"/>
        <scheme val="minor"/>
      </rPr>
      <t>3</t>
    </r>
  </si>
  <si>
    <r>
      <t>Rezervor nou de înmagazinare a apei + stație de clorinare în localitatea Tureac, 
V = 500 m</t>
    </r>
    <r>
      <rPr>
        <vertAlign val="superscript"/>
        <sz val="11"/>
        <color theme="1"/>
        <rFont val="Calibri"/>
        <family val="2"/>
        <scheme val="minor"/>
      </rPr>
      <t>3</t>
    </r>
  </si>
  <si>
    <r>
      <t>Rezervor nou de înmagazinare + stație de clorinare pentru localitatea Șoimuș, 
V = 100 m</t>
    </r>
    <r>
      <rPr>
        <vertAlign val="superscript"/>
        <sz val="11"/>
        <color theme="1"/>
        <rFont val="Calibri"/>
        <family val="2"/>
        <scheme val="minor"/>
      </rPr>
      <t>3</t>
    </r>
  </si>
  <si>
    <r>
      <t>Rezervor nou de înmagazinare a apei + stație de clorinare pentru Oarzina, 
V = 50 m</t>
    </r>
    <r>
      <rPr>
        <vertAlign val="superscript"/>
        <sz val="11"/>
        <color theme="1"/>
        <rFont val="Calibri"/>
        <family val="2"/>
        <scheme val="minor"/>
      </rPr>
      <t>3</t>
    </r>
  </si>
  <si>
    <r>
      <t>Rezervor nou de înmagazinare și stație de clorinare pentru localitatea Alunișul, 
V = 100 m</t>
    </r>
    <r>
      <rPr>
        <vertAlign val="superscript"/>
        <sz val="11"/>
        <color theme="1"/>
        <rFont val="Calibri"/>
        <family val="2"/>
        <scheme val="minor"/>
      </rPr>
      <t>3</t>
    </r>
  </si>
  <si>
    <t>1. BUDEȘTI</t>
  </si>
  <si>
    <t>2. MICEȘTII DE CÂMPIE</t>
  </si>
  <si>
    <t>3. SÂNMIHAIU DE CÂMPIE</t>
  </si>
  <si>
    <t>4. MATEI</t>
  </si>
  <si>
    <t>5. LECHINȚA</t>
  </si>
  <si>
    <t>6. TEACA</t>
  </si>
  <si>
    <t>7. MILAȘ</t>
  </si>
  <si>
    <t>8. CHIOCHIȘ</t>
  </si>
  <si>
    <t>9. MĂRIȘELU</t>
  </si>
  <si>
    <t>10. GALAȚII BISTRIȚEI</t>
  </si>
  <si>
    <t>11. BISTRIȚA BÂRGĂULUI</t>
  </si>
  <si>
    <t>12. TIHA BÂRGĂULUI</t>
  </si>
  <si>
    <t>13. JOSENII BÂRGĂULUI</t>
  </si>
  <si>
    <t>14. LIVEZILE</t>
  </si>
  <si>
    <t>15. MUNICIPIUL BISTRIȚA</t>
  </si>
  <si>
    <t>16. ȘIEU</t>
  </si>
  <si>
    <t>17. ȘIEUȚ</t>
  </si>
  <si>
    <t>18. MAIERU</t>
  </si>
  <si>
    <t>19. RODNA</t>
  </si>
  <si>
    <t>20. ORAȘ SÂNGEORZ - BĂI</t>
  </si>
  <si>
    <t>21. ORAȘ NĂSĂUD</t>
  </si>
  <si>
    <t>22. POIANA ILVEI</t>
  </si>
  <si>
    <t>23. ILVA MICĂ</t>
  </si>
  <si>
    <t>24. BUDACU DE JOS</t>
  </si>
  <si>
    <t>25. PETRU RAREȘ</t>
  </si>
  <si>
    <t>26. CICEU MIHĂEȘTI</t>
  </si>
  <si>
    <t>27. ORAȘ BECLEAN</t>
  </si>
  <si>
    <t>28. CETATE</t>
  </si>
  <si>
    <t>29. NUȘENI</t>
  </si>
  <si>
    <t>30. ȘIEU MĂGHERUȘ</t>
  </si>
  <si>
    <t>31. ȘINETERAG</t>
  </si>
  <si>
    <t>32. BRANIȘTEA</t>
  </si>
  <si>
    <t>33. CHIUZA</t>
  </si>
  <si>
    <t>34. URIU</t>
  </si>
  <si>
    <t>35. DUMITRIȚA</t>
  </si>
  <si>
    <t>36. PRUNDU BÂRGĂULUI</t>
  </si>
  <si>
    <t>37. REBRIȘOARA</t>
  </si>
  <si>
    <t>38. FELDRU</t>
  </si>
  <si>
    <t>39. SALVA</t>
  </si>
  <si>
    <t>40. CĂIANU MIC</t>
  </si>
  <si>
    <t>41. CICEU - GIURGEȘTI</t>
  </si>
  <si>
    <t>42. COȘBUC</t>
  </si>
  <si>
    <t>43. ILVA MARE</t>
  </si>
  <si>
    <t>44. LEȘU</t>
  </si>
  <si>
    <t>45. LUNCA ILVEI</t>
  </si>
  <si>
    <t>46. NEGRILEȘTI</t>
  </si>
  <si>
    <t>47. NIMIGEA</t>
  </si>
  <si>
    <t>48. REBRA</t>
  </si>
  <si>
    <t>49. RUNCU SALVEI</t>
  </si>
  <si>
    <t>50. SPERMEZEU</t>
  </si>
  <si>
    <t>51. ȘIEU - ODORHEI</t>
  </si>
  <si>
    <t>52. TELCIU</t>
  </si>
  <si>
    <t>53. TÂRLIȘUA</t>
  </si>
  <si>
    <t>54. ZAGRA</t>
  </si>
  <si>
    <t>55. DUMITRA</t>
  </si>
  <si>
    <t>56. MĂGURA ILVEI</t>
  </si>
  <si>
    <t>57. PARVA</t>
  </si>
  <si>
    <t>58. MONOR - ADI MUREȘ</t>
  </si>
  <si>
    <t>59. SILIVAȘUL DE CÂMPIE - ADI MUREȘ</t>
  </si>
  <si>
    <t>60. URMENIȘ - ADI MUREȘ</t>
  </si>
  <si>
    <t>55</t>
  </si>
  <si>
    <t>55.1</t>
  </si>
  <si>
    <t>55.2</t>
  </si>
  <si>
    <t>56</t>
  </si>
  <si>
    <t>56.1</t>
  </si>
  <si>
    <t>56.2</t>
  </si>
  <si>
    <t>57</t>
  </si>
  <si>
    <t>57.1</t>
  </si>
  <si>
    <t>57.2</t>
  </si>
  <si>
    <t>58</t>
  </si>
  <si>
    <t>58.1</t>
  </si>
  <si>
    <t>58.2</t>
  </si>
  <si>
    <t>59</t>
  </si>
  <si>
    <t>59.1</t>
  </si>
  <si>
    <t>59.2</t>
  </si>
  <si>
    <t>60</t>
  </si>
  <si>
    <r>
      <t>Dumitra 
(</t>
    </r>
    <r>
      <rPr>
        <b/>
        <sz val="10"/>
        <color theme="0"/>
        <rFont val="Calibri"/>
        <family val="2"/>
      </rPr>
      <t>€</t>
    </r>
    <r>
      <rPr>
        <b/>
        <sz val="8.5"/>
        <color theme="0"/>
        <rFont val="Calibri"/>
        <family val="2"/>
      </rPr>
      <t>)</t>
    </r>
  </si>
  <si>
    <r>
      <t>Măgura Ilvei 
(€</t>
    </r>
    <r>
      <rPr>
        <b/>
        <sz val="8.5"/>
        <color theme="0"/>
        <rFont val="Calibri"/>
        <family val="2"/>
      </rPr>
      <t>)</t>
    </r>
  </si>
  <si>
    <r>
      <t>Parva
(€</t>
    </r>
    <r>
      <rPr>
        <b/>
        <sz val="8.5"/>
        <color theme="0"/>
        <rFont val="Calibri"/>
        <family val="2"/>
      </rPr>
      <t>)</t>
    </r>
  </si>
  <si>
    <r>
      <t>Silivașul de Câmpie 
- ADI Mureș
(€</t>
    </r>
    <r>
      <rPr>
        <b/>
        <sz val="8.5"/>
        <color theme="0"/>
        <rFont val="Calibri"/>
        <family val="2"/>
      </rPr>
      <t>)</t>
    </r>
  </si>
  <si>
    <r>
      <t>Urmeniș
(€</t>
    </r>
    <r>
      <rPr>
        <b/>
        <sz val="8.5"/>
        <color theme="0"/>
        <rFont val="Calibri"/>
        <family val="2"/>
      </rPr>
      <t>)</t>
    </r>
  </si>
  <si>
    <t>Localitatea Șieu - Odorhei este o aglomerare sub 2000 L.E. , motiv pentru care nu au fost propuse investiții în sistemul de canalizare prin fonduri de coeziune.</t>
  </si>
  <si>
    <t>Stație de epurare nouă, capacitate 1 600 L.E. pentru localitățile Galații Bistriței și Dipșa</t>
  </si>
  <si>
    <t>Stație de pompare nouă pe rețeaua de canalizare</t>
  </si>
  <si>
    <t>Stație de epurare nouă pentru localitatea Ciceu - Mihăești - capacitate 1000 L.E.</t>
  </si>
  <si>
    <t>Rețea nouă de canalizare în localitatea Ciceu Mihăești, Dn 315 mm, PVC</t>
  </si>
  <si>
    <t>Canal nou colector gravitațional de transfer ape uzate la SE din localitatea Lunca Leșu, Dn 315 mm, PVC</t>
  </si>
  <si>
    <t>Telcișor</t>
  </si>
  <si>
    <t>Stații noi de pompare pe rețeaua de canalizare din localitatea Telcișor</t>
  </si>
  <si>
    <t>Localitatea Telcișor  este o aglomerare sub 2000 L.E. , motiv pentru care nu au fost propuse investiții în sistemul de canalizare prin fonduri de coeziune.</t>
  </si>
  <si>
    <t>Stații noi de pompare pe rețeaua de canalizare din localitatea Telciu</t>
  </si>
  <si>
    <t>Extindere rețea de canalizare în localitatea Telciu, Dn 250 mm, PVC</t>
  </si>
  <si>
    <t>Colector nou de refulare pentru localitatea  Telcișor, Dn 90 mm, PEHD</t>
  </si>
  <si>
    <t>Rețea nouă de canalizare în localitatea Telcișor, Dn 250 mm, PVC</t>
  </si>
  <si>
    <t xml:space="preserve">1. Localitatea Telciu formează o aglomerare peste 2000 L.E.
2. Investițiile în sistemul de canalizare max: 2000 euro/cap locuitor;
3. Asigurarea gradului de conectare de 100% pânâ în 2018;
4. Comuna Telciu este membră ADI - Apă - Canalizare Bistrița.
</t>
  </si>
  <si>
    <t>Șesuri Spermezeu Vale</t>
  </si>
  <si>
    <t xml:space="preserve">Modernizare stație de tratare - flux tehnologic (decantoare lamelare) </t>
  </si>
  <si>
    <t>Modernizarea sistemului SCADA + Generator electric pe biogaz (GEB)</t>
  </si>
  <si>
    <t>Cormaia</t>
  </si>
  <si>
    <t>Rusu de Jos</t>
  </si>
  <si>
    <t>Figa</t>
  </si>
  <si>
    <t>Conductă de refulare</t>
  </si>
  <si>
    <t>Conductă nouă de refulare ape menajere - mal drept Someș, Dn 63 mm, PEHD</t>
  </si>
  <si>
    <t>Conductă nouă de refulare ape menajere - mal drept Someș, Dn 90 mm, PEHD</t>
  </si>
  <si>
    <t>Conductă nouă de refulare ape menajere - mal drept Someș, Dn 140 mm, PEHD</t>
  </si>
  <si>
    <t>Traversare drum sapatura deschisa</t>
  </si>
  <si>
    <t>Subtravesare DN</t>
  </si>
  <si>
    <t>Subtravseare drum național prin foraj</t>
  </si>
  <si>
    <t>Rețea nouă de canalizare pentru localitatea Feldru - mal stâng Someș, Dn 200 mm, PVC</t>
  </si>
  <si>
    <t>Rețea nouă de canalizare pentru localitatea Feldru - mal drept Someș, Dn 250 mm, PVC</t>
  </si>
  <si>
    <t>Rețea nouă de canalizare pentru localitatea Feldru - mal drept Someș, Dn 200 mm, PVC</t>
  </si>
  <si>
    <t>Rețea nouă de canalizare pentru localitatea Feldru - mal stâng Someș, Dn 250 mm, PVC</t>
  </si>
  <si>
    <t>Rețea nouă de canalizare pentru localitatea Feldru - mal stâng Someș, Dn 110 mm, PVC</t>
  </si>
  <si>
    <t>Rețea nouă de canalizare pentru localitatea Feldru - mal stâng Someș, Dn 140 mm, PVC</t>
  </si>
  <si>
    <t>Subtraversări</t>
  </si>
  <si>
    <t>Subtraversări în săpătură deschisă a drumului</t>
  </si>
  <si>
    <t>Subtraversare CF</t>
  </si>
  <si>
    <t xml:space="preserve">Traversare </t>
  </si>
  <si>
    <t>Traversare aeriană a râului Someș cu o conductă de oțel Dn 100 mm</t>
  </si>
  <si>
    <t>Stații noi de pompare rețea  de canalizare în localitatea Feldru - mal stâng Someș</t>
  </si>
  <si>
    <t>Stații noi de pompare rețea  de canalizare în localitatea Feldru - mal drept Someș</t>
  </si>
  <si>
    <t>Conductă nouă de refulare ape uzate menajere între localitatea Nepos și stația de epurare din localitatea Feldru, Dn 200 mm, PEHD</t>
  </si>
  <si>
    <t>Mașină de transport a nămolului -  capacitate 25 tone</t>
  </si>
  <si>
    <r>
      <t>Mașina combinată vomă - vidanjă - capacitate 8 - 12 m</t>
    </r>
    <r>
      <rPr>
        <vertAlign val="superscript"/>
        <sz val="11"/>
        <color theme="1"/>
        <rFont val="Calibri"/>
        <family val="2"/>
        <scheme val="minor"/>
      </rPr>
      <t>3</t>
    </r>
  </si>
  <si>
    <r>
      <t>Autovidanjă - capacitate 10 m</t>
    </r>
    <r>
      <rPr>
        <vertAlign val="superscript"/>
        <sz val="11"/>
        <color theme="1"/>
        <rFont val="Calibri"/>
        <family val="2"/>
        <scheme val="minor"/>
      </rPr>
      <t>3</t>
    </r>
  </si>
  <si>
    <t>Buldo-excavator</t>
  </si>
  <si>
    <t>Autolaborator probe apă</t>
  </si>
  <si>
    <t>Autoutilitară cu sistem basculare - capacitate 3,5 tone</t>
  </si>
  <si>
    <t>Aparatură detectare pierderi de apă</t>
  </si>
  <si>
    <t>Echipament complet de inspecție rețea de canalizare</t>
  </si>
  <si>
    <t>Motopompă apă uzată cu capacitate mare</t>
  </si>
  <si>
    <t>Aparatură laborator (la stația de tratare apă potabilă și stația de epurare apă uzată)</t>
  </si>
  <si>
    <t>Înlocuirea conductelor Premo DN 600 - 800 mm rămase neînlocuite din prima Fază POS Mediu 2007 - (2013)</t>
  </si>
  <si>
    <t>Extindere rețea de distribuție pe Valea Jelnei, Dn 110 mm, PEHD</t>
  </si>
  <si>
    <t>„</t>
  </si>
  <si>
    <t>Bichigiu</t>
  </si>
  <si>
    <t>Captare nouă de izvoare pentru localitatea Bichigiu</t>
  </si>
  <si>
    <t>Conductă de aducțiune</t>
  </si>
  <si>
    <t>Conductă nouă de aducțiune pentru localitatea Bichigiu, Dn 75 mm, PEHD</t>
  </si>
  <si>
    <t>Stație nouă de tratare pentru localitatea Bichigiu</t>
  </si>
  <si>
    <t>Rețea nouă de distribuție în localitatea Bichigiu, Dn 110 mm, PEHD</t>
  </si>
  <si>
    <t>Rezervor</t>
  </si>
  <si>
    <t>Stație nouă de epurare pentru localitatea Bichigiu, capacitate 1000 L.E.</t>
  </si>
  <si>
    <t>Rețea nouă de canalizare în localitatea Bichigiu, Dn 250 mm, PVC</t>
  </si>
  <si>
    <t>Localitatea Bichigiu  este o aglomerare sub 2000 L.E. , motiv pentru care nu au fost propuse investiții în sistemul de canalizare prin fonduri de coeziune.</t>
  </si>
  <si>
    <t>Extindere rețea de distribuție în Zona Dr. Dumitrei Nou, Dn 110 mm, PVC</t>
  </si>
  <si>
    <t>Extindere rețea de distribuție în localitatea Livezile, Dn110 mm, PEHD</t>
  </si>
  <si>
    <t>Extindere rețea apă uzată în localitatea Livezile, Dn 250 mm, PVC</t>
  </si>
  <si>
    <t>1. Localitatea Livezile face parte din Aglomerarea Regională Bistrița.
2. Investițiile în sistemul de canalizare max: 2000 euro/cap locuitor;
3. Asigurarea gradului de conectare de 100% pânâ în 2018;
4. Continuarea lucrărilor ISPA
5. Comuna Livezile este membră ADI - Apă - Canalizare Bistrița.</t>
  </si>
  <si>
    <t>Reteag + Bața</t>
  </si>
  <si>
    <t>Stație nouă de epurare pentru sat Colibița, capacitate 400 L.E.</t>
  </si>
  <si>
    <t>Stație nouă de pompare pe rețeaua de canalizare în sat Colobița</t>
  </si>
  <si>
    <t>Extindere rețea de canalizare pentru sat  Colibița, Dn 315 mm, PVC</t>
  </si>
  <si>
    <t>Statie de epurare</t>
  </si>
  <si>
    <t>Solutie individuala de epurare pentru zona lacului Colibita</t>
  </si>
  <si>
    <t>Braniștea + Măluț</t>
  </si>
  <si>
    <t>Rețea de canalizare nouă pentru zona lacului Colobita, Dn 315 mm, PVC</t>
  </si>
  <si>
    <t>Statie de epurare monobloc pentru zona lacului Colibita, capacitate 30 - 45 L.E.</t>
  </si>
  <si>
    <t>Zagra 
+ 
Suplai
+
Poienile Zagrei</t>
  </si>
  <si>
    <t>Aductiune</t>
  </si>
  <si>
    <t>Captare nouă pentru Comuna Zagra (se va realiza o priză de apă la aceeași cota cu priza de apă a hidrocentralelor - principala sursa de apă pentru comună)</t>
  </si>
  <si>
    <t>Conductă de aducțiune nouă de la captare la rezervorul R1, Dn 160 mm, PEID</t>
  </si>
  <si>
    <t>Extindere rețea de distribuție în Comuna Zagra, Dn 110 mm, PEID</t>
  </si>
  <si>
    <r>
      <t>Rezervor nou de înmagazinare în localitatea Suplai + stație de clorinare, 
V = 300 m</t>
    </r>
    <r>
      <rPr>
        <vertAlign val="superscript"/>
        <sz val="11"/>
        <rFont val="Calibri"/>
        <family val="2"/>
        <scheme val="minor"/>
      </rPr>
      <t>3</t>
    </r>
  </si>
  <si>
    <r>
      <t>Rezervor nou de înmagazinare în localitatea Poienile Zagrei, V = 300 m</t>
    </r>
    <r>
      <rPr>
        <vertAlign val="superscript"/>
        <sz val="11"/>
        <rFont val="Calibri"/>
        <family val="2"/>
        <scheme val="minor"/>
      </rPr>
      <t>3</t>
    </r>
  </si>
  <si>
    <r>
      <t>Rezervor nou de înmagazinare în localitatea Zagra, V = 400 m</t>
    </r>
    <r>
      <rPr>
        <vertAlign val="superscript"/>
        <sz val="11"/>
        <rFont val="Calibri"/>
        <family val="2"/>
        <scheme val="minor"/>
      </rPr>
      <t>3</t>
    </r>
  </si>
  <si>
    <t>1. Localități cu peste 50 de locuitori; în prezent, în acestă localități exista rețele de distribuție apa potabilă, însă din lipsa secării izvorului care trebuia să reprezinte sursa de apă pentru cele 3 localitati, n-au mai fost realizate si restul lucrărilor din sistemul de alimentare cu apă: o altă captare, rezervoare de înmagazinare, statie de clorinare;
2. Asigurarea gradului de conectare de 100% până în 2015;
3.  Investiții în sistemul de alimentare cu apa: aprox.1.000 Euro / cap locuitor; 
4. Comuna Zagra este membră ADI - Apă - Canalizare Bistrița.</t>
  </si>
  <si>
    <t>Breaza 
+
Purcarete</t>
  </si>
  <si>
    <t>Purcarete</t>
  </si>
  <si>
    <t>Soluție individuală de epurare pentru localitatea Purcarete</t>
  </si>
  <si>
    <t>Localitatea Purcarete este o aglomerare sub 2000 L.E. , motiv pentru care nu au fost propuse investiții în sistemul de canalizare prin fonduri de coeziune.</t>
  </si>
  <si>
    <t xml:space="preserve">1. Localități cu peste 50 de locuitori; 
2. Asigurarea gradului de conectare de 100% până în 2015;
3. Investiții în sistemul de alimentare cu apa: aprox.1.000 Euro / locuitor; 
4. Comuna Negrilești este membră ADI - Apă - Canalizare Bistrița.
</t>
  </si>
  <si>
    <t xml:space="preserve">Ilva Mare </t>
  </si>
  <si>
    <r>
      <rPr>
        <b/>
        <sz val="11"/>
        <color theme="1"/>
        <rFont val="Calibri"/>
        <family val="2"/>
        <scheme val="minor"/>
      </rPr>
      <t>1.</t>
    </r>
    <r>
      <rPr>
        <sz val="11"/>
        <color theme="1"/>
        <rFont val="Calibri"/>
        <family val="2"/>
        <scheme val="minor"/>
      </rPr>
      <t xml:space="preserve"> Continuare a investițiilor realizate prin alte surse de finanțare.
</t>
    </r>
    <r>
      <rPr>
        <b/>
        <sz val="11"/>
        <color theme="1"/>
        <rFont val="Calibri"/>
        <family val="2"/>
        <scheme val="minor"/>
      </rPr>
      <t>2.</t>
    </r>
    <r>
      <rPr>
        <sz val="11"/>
        <color theme="1"/>
        <rFont val="Calibri"/>
        <family val="2"/>
        <scheme val="minor"/>
      </rPr>
      <t xml:space="preserve"> Investițiile în sistemul de canalizare max: 2000 euro/cap locuitor;
</t>
    </r>
    <r>
      <rPr>
        <b/>
        <sz val="11"/>
        <color theme="1"/>
        <rFont val="Calibri"/>
        <family val="2"/>
        <scheme val="minor"/>
      </rPr>
      <t>3.</t>
    </r>
    <r>
      <rPr>
        <sz val="11"/>
        <color theme="1"/>
        <rFont val="Calibri"/>
        <family val="2"/>
        <scheme val="minor"/>
      </rPr>
      <t xml:space="preserve">Asigurarea gradului de conectare de 100% pânâ în 2018;
</t>
    </r>
    <r>
      <rPr>
        <b/>
        <sz val="11"/>
        <color theme="1"/>
        <rFont val="Calibri"/>
        <family val="2"/>
        <scheme val="minor"/>
      </rPr>
      <t>4.</t>
    </r>
    <r>
      <rPr>
        <sz val="11"/>
        <color theme="1"/>
        <rFont val="Calibri"/>
        <family val="2"/>
        <scheme val="minor"/>
      </rPr>
      <t>Comuna Ilva Mare este membră ADI - Apă - Canalizare Bistrița.</t>
    </r>
  </si>
  <si>
    <t>Rebrișoara (strazile Poderei, Gersa I)</t>
  </si>
  <si>
    <t>Extindere rețea de canalizare pe strada Gersa I, Dn 250 mm, PVC</t>
  </si>
  <si>
    <t>Extindere rețea de canalizare pe strada Gersa II, Dn 250 mm, PVC</t>
  </si>
  <si>
    <r>
      <rPr>
        <b/>
        <sz val="11"/>
        <color theme="1"/>
        <rFont val="Calibri"/>
        <family val="2"/>
        <scheme val="minor"/>
      </rPr>
      <t>1.</t>
    </r>
    <r>
      <rPr>
        <sz val="11"/>
        <color theme="1"/>
        <rFont val="Calibri"/>
        <family val="2"/>
        <scheme val="minor"/>
      </rPr>
      <t xml:space="preserve"> Localitatea Rebrișoara face parte din Aglomerarea Regională Năsăud/Salva;
</t>
    </r>
    <r>
      <rPr>
        <b/>
        <sz val="11"/>
        <color theme="1"/>
        <rFont val="Calibri"/>
        <family val="2"/>
        <scheme val="minor"/>
      </rPr>
      <t>2.</t>
    </r>
    <r>
      <rPr>
        <sz val="11"/>
        <color theme="1"/>
        <rFont val="Calibri"/>
        <family val="2"/>
        <scheme val="minor"/>
      </rPr>
      <t xml:space="preserve"> Investițiile în sistemul de canalizare max: 2000 euro/cap locuitor;
</t>
    </r>
    <r>
      <rPr>
        <b/>
        <sz val="11"/>
        <color theme="1"/>
        <rFont val="Calibri"/>
        <family val="2"/>
        <scheme val="minor"/>
      </rPr>
      <t>3.</t>
    </r>
    <r>
      <rPr>
        <sz val="11"/>
        <color theme="1"/>
        <rFont val="Calibri"/>
        <family val="2"/>
        <scheme val="minor"/>
      </rPr>
      <t xml:space="preserve">Asigurarea gradului de conectare de 100% pânâ în 2018;
</t>
    </r>
    <r>
      <rPr>
        <b/>
        <sz val="11"/>
        <color theme="1"/>
        <rFont val="Calibri"/>
        <family val="2"/>
        <scheme val="minor"/>
      </rPr>
      <t>4.</t>
    </r>
    <r>
      <rPr>
        <sz val="11"/>
        <color theme="1"/>
        <rFont val="Calibri"/>
        <family val="2"/>
        <scheme val="minor"/>
      </rPr>
      <t>Comuna Rebrișoara este membră ADI - Apă - Canalizare Bistrița.</t>
    </r>
  </si>
  <si>
    <t>Șieu Măgheruș 
+ Crainimăt</t>
  </si>
  <si>
    <t>Stație nouă de epurare - capacitate 2 000 L.E.care va deservi localitățile Șieu Măgheruș și Crainimăt</t>
  </si>
  <si>
    <t>Canal nou colector de transfer apă uzată, Dn 315 mm, PVC (Șieu Măgheruș - Crainimăt)</t>
  </si>
  <si>
    <t>Stație nouă de pompare pe rețeaua de canalizare pentru localitățile Șieu Măgheruș - Crainimăt</t>
  </si>
  <si>
    <t>Stație locală de epurare</t>
  </si>
  <si>
    <t>Localitățile Șieu - Măgheruș și Crainimăt formează o aglomerare peste 2000 L.E., in această aglomerare desfășurându-si activitatea numeroase societăți comerciale, precum: 1 fabrică de lapte, 1 fabrică de alcool, 1 fermă de porcine cu o capacitate de 4 500 capete, 2 stații de betoane, 2 hoteluri, si cateva spalatorii auto.
Între cele două localități nu există nici o distanță ele fiiind practic una langa alta.</t>
  </si>
  <si>
    <r>
      <t>Rezervor de înmagazinare a apei în zona Budacu - Lempeș, V = 100 m</t>
    </r>
    <r>
      <rPr>
        <vertAlign val="superscript"/>
        <sz val="11"/>
        <color theme="1"/>
        <rFont val="Calibri"/>
        <family val="2"/>
        <scheme val="minor"/>
      </rPr>
      <t>3</t>
    </r>
  </si>
  <si>
    <t>In prezent, in satul Negrilești se află în desfășurare un proiect pentru sistemul de alimentare cu apa al acestui sat finantat prin OG 28/2013.</t>
  </si>
  <si>
    <t>Rețea nouă de distribuție în localitatile Breaza si Purcarete, Dn 110 mm, PEHD</t>
  </si>
  <si>
    <t>Extindere conductă de aducțiune din localitatea Ciceu - Giurgești în localitatea Negrilești, Dn 180 mm, PEHD</t>
  </si>
  <si>
    <t>Rețea nouă de distribuție în localitatea Negrilești, Dn 63 mm, PEHD</t>
  </si>
  <si>
    <r>
      <t>Monor - in afata ADI
(€</t>
    </r>
    <r>
      <rPr>
        <b/>
        <sz val="8.5"/>
        <color theme="0"/>
        <rFont val="Calibri"/>
        <family val="2"/>
      </rPr>
      <t>)</t>
    </r>
  </si>
  <si>
    <t>Podirei</t>
  </si>
  <si>
    <t>Soluție individuală de epurare pentru localitatea Podirei</t>
  </si>
  <si>
    <t>Stație nouă de epurare pentru localitatea Arcalia - capacitate - 1000 L.E.</t>
  </si>
  <si>
    <t>Stație nouă de epurare pentru localitatea Sărățel - capacitate 650 L.E.</t>
  </si>
  <si>
    <t xml:space="preserve">Rebrișoara (străzile Gersa I, Gersa II) </t>
  </si>
  <si>
    <t>930</t>
  </si>
  <si>
    <t>Rețea nouă de canalizare  în localitatea Nușeni, Dn 250 mm, PVC</t>
  </si>
  <si>
    <t>Stație nouă de epurare în localitatea Nușeni, capacitate 1 000 L.E.</t>
  </si>
  <si>
    <t>Beudiu</t>
  </si>
  <si>
    <t>589</t>
  </si>
  <si>
    <t>Stație nouă de epurare în localitatea Beudiu, capacitate 600 L.E.</t>
  </si>
  <si>
    <t>Rețea nouă de canalizare  în localitatea Beudiu, Dn 250 mm, PVC</t>
  </si>
  <si>
    <t>Feleac</t>
  </si>
  <si>
    <t>349</t>
  </si>
  <si>
    <t>Rețea nouă de canalizare  în localitatea Feleac, Dn 250 mm, PVC</t>
  </si>
  <si>
    <t>Stație nouă de epurare în localitatea Feleac, capacitate 400 L.E.</t>
  </si>
  <si>
    <t>Rusu de Sus</t>
  </si>
  <si>
    <t>274</t>
  </si>
  <si>
    <t>Stație nouă de epurare în localitatea Rusu de Sus, capacitate 300 L.E.</t>
  </si>
  <si>
    <t>Rețea nouă de canalizare  în localitatea Rusu de Sus, Dn 250 mm, PVC</t>
  </si>
  <si>
    <t>Stație nouă de epurare în localitatea Vita, capacitate 400 L.E.</t>
  </si>
  <si>
    <t>Localitatea Nușeni este o aglomerare sub 2000 L.E. , motiv pentru care nu au fost propuse investiții în sistemul de canalizare prin fonduri de coeziune.</t>
  </si>
  <si>
    <t>Localitatea Beudiu este o aglomerare sub 2000 L.E. , motiv pentru care nu au fost propuse investiții în sistemul de canalizare prin fonduri de coeziune.</t>
  </si>
  <si>
    <t>Localitatea Feleac este o aglomerare sub 2000 L.E. , motiv pentru care nu au fost propuse investiții în sistemul de canalizare prin fonduri de coeziune.</t>
  </si>
  <si>
    <t>Localitatea Rusu de Sus este o aglomerare sub 2000 L.E. , motiv pentru care nu au fost propuse investiții în sistemul de canalizare prin fonduri de coeziune.</t>
  </si>
  <si>
    <t>Soluție individuală de epurare în Poderei</t>
  </si>
  <si>
    <t>Soluție individuală de epurare pentru localitatea Șoimuș</t>
  </si>
  <si>
    <t>Soluție individuală de epurare pentru localitatea Simionești</t>
  </si>
  <si>
    <t>Stații de pompare noi pe rețeua de distribuție a localitatii Ciresoaia</t>
  </si>
  <si>
    <t>Extindere rețea de distribuție în cartier Coldău, Dn 110 mm, PEHD</t>
  </si>
  <si>
    <t>Extindere rețea de canalizare în cartier Coldău, Dn 250 mm, PVC</t>
  </si>
  <si>
    <t>Stație nouă de pompare pentru sat Figa</t>
  </si>
  <si>
    <r>
      <t>Rezervor nou de înmagazinare pentru sat Figa, V = 500 m</t>
    </r>
    <r>
      <rPr>
        <vertAlign val="superscript"/>
        <sz val="11"/>
        <color theme="1"/>
        <rFont val="Calibri"/>
        <family val="2"/>
        <scheme val="minor"/>
      </rPr>
      <t>3</t>
    </r>
  </si>
  <si>
    <t>Extindere rețea de distribuție în Zona Pasarela - Oras Beclean, Dn 110 mm, PEHD</t>
  </si>
  <si>
    <t>Extindere rețea de canalizare în Zona Pasarela - Oras Beclean, Dn 250 mm, PVC</t>
  </si>
  <si>
    <r>
      <t>Rezervor nou de inmagazinare a apei + statie de clorinare în localitatea Lunca Leșului, V = 200 m</t>
    </r>
    <r>
      <rPr>
        <vertAlign val="superscript"/>
        <sz val="11"/>
        <color theme="1"/>
        <rFont val="Calibri"/>
        <family val="2"/>
        <scheme val="minor"/>
      </rPr>
      <t>3</t>
    </r>
  </si>
  <si>
    <r>
      <t>Rezevor nou de înmagazinare pentru localitatea Bichigiu, V = 200 m</t>
    </r>
    <r>
      <rPr>
        <vertAlign val="superscript"/>
        <sz val="11"/>
        <color theme="1"/>
        <rFont val="Calibri"/>
        <family val="2"/>
        <scheme val="minor"/>
      </rPr>
      <t>3</t>
    </r>
  </si>
  <si>
    <t>Sursa proprie</t>
  </si>
  <si>
    <t>Sieuț
Rustișor
Sebiș
Lunca</t>
  </si>
  <si>
    <t>Statiede tratare</t>
  </si>
  <si>
    <t>Stație de clorinare nouă în Comuna Șieuț</t>
  </si>
  <si>
    <t>Extindere conducta de aducțiune in Comuna Șieuț, Dn 125 mm, PEHD</t>
  </si>
  <si>
    <t>Reabilitare rețea de distribuție, Dn 110 mm, PEHD</t>
  </si>
  <si>
    <t>Total alimentare cu apă Comuna Șieuț</t>
  </si>
  <si>
    <t>Rezervor de înmagazinare</t>
  </si>
  <si>
    <r>
      <t>Rezervor nou de înmagazinare apă + stație de clorinare , V = 500 m</t>
    </r>
    <r>
      <rPr>
        <vertAlign val="superscript"/>
        <sz val="11"/>
        <color theme="1"/>
        <rFont val="Calibri"/>
        <family val="2"/>
        <scheme val="minor"/>
      </rPr>
      <t>3</t>
    </r>
  </si>
  <si>
    <r>
      <t>Modernizare stație de tratare  - capacitate existenta stație Q = 720 m</t>
    </r>
    <r>
      <rPr>
        <vertAlign val="superscript"/>
        <sz val="11"/>
        <color theme="1"/>
        <rFont val="Calibri"/>
        <family val="2"/>
        <scheme val="minor"/>
      </rPr>
      <t>3</t>
    </r>
    <r>
      <rPr>
        <sz val="11"/>
        <color theme="1"/>
        <rFont val="Calibri"/>
        <family val="2"/>
        <scheme val="minor"/>
      </rPr>
      <t>/h</t>
    </r>
  </si>
  <si>
    <t>Extindere conductă de distribuție, Dn 200 mm, PEHD</t>
  </si>
  <si>
    <t>`</t>
  </si>
  <si>
    <t>Echipament SCADA</t>
  </si>
</sst>
</file>

<file path=xl/styles.xml><?xml version="1.0" encoding="utf-8"?>
<styleSheet xmlns="http://schemas.openxmlformats.org/spreadsheetml/2006/main">
  <numFmts count="5">
    <numFmt numFmtId="164" formatCode="_(* #,##0.00_);_(* \(#,##0.00\);_(* &quot;-&quot;??_);_(@_)"/>
    <numFmt numFmtId="165" formatCode="#,##0.0"/>
    <numFmt numFmtId="166" formatCode="0.0"/>
    <numFmt numFmtId="167" formatCode="_(* #,##0_);_(* \(#,##0\);_(* &quot;-&quot;??_);_(@_)"/>
    <numFmt numFmtId="168" formatCode="#,##0;[Red]#,##0"/>
  </numFmts>
  <fonts count="62">
    <font>
      <sz val="11"/>
      <color theme="1"/>
      <name val="Calibri"/>
      <family val="2"/>
      <scheme val="minor"/>
    </font>
    <font>
      <b/>
      <sz val="11"/>
      <color theme="1"/>
      <name val="Calibri"/>
      <family val="2"/>
      <scheme val="minor"/>
    </font>
    <font>
      <sz val="12"/>
      <color theme="1"/>
      <name val="Times New Roman"/>
      <family val="1"/>
    </font>
    <font>
      <sz val="12"/>
      <color theme="1"/>
      <name val="Arial"/>
      <family val="2"/>
    </font>
    <font>
      <b/>
      <sz val="9"/>
      <color rgb="FF000000"/>
      <name val="Arial Narrow"/>
      <family val="2"/>
    </font>
    <font>
      <sz val="9"/>
      <color rgb="FF000000"/>
      <name val="Arial Narrow"/>
      <family val="2"/>
    </font>
    <font>
      <b/>
      <sz val="12"/>
      <color theme="1"/>
      <name val="Times New Roman"/>
      <family val="1"/>
    </font>
    <font>
      <sz val="10"/>
      <name val="Arial"/>
      <family val="2"/>
    </font>
    <font>
      <b/>
      <sz val="10"/>
      <name val="Arial Narrow"/>
      <family val="2"/>
    </font>
    <font>
      <b/>
      <sz val="10"/>
      <name val="Arial"/>
      <family val="2"/>
    </font>
    <font>
      <b/>
      <sz val="12"/>
      <name val="Arial"/>
      <family val="2"/>
    </font>
    <font>
      <b/>
      <i/>
      <sz val="12"/>
      <name val="Arial"/>
      <family val="2"/>
    </font>
    <font>
      <b/>
      <sz val="14"/>
      <name val="Arial"/>
      <family val="2"/>
    </font>
    <font>
      <i/>
      <sz val="10"/>
      <name val="Arial"/>
      <family val="2"/>
    </font>
    <font>
      <sz val="10"/>
      <color rgb="FFFF0000"/>
      <name val="Arial Narrow"/>
      <family val="2"/>
    </font>
    <font>
      <b/>
      <sz val="10"/>
      <color rgb="FFFF0000"/>
      <name val="Arial Narrow"/>
      <family val="2"/>
    </font>
    <font>
      <sz val="11"/>
      <name val="Calibri"/>
      <family val="2"/>
      <scheme val="minor"/>
    </font>
    <font>
      <sz val="12"/>
      <name val="Arial"/>
      <family val="2"/>
    </font>
    <font>
      <b/>
      <sz val="12"/>
      <color rgb="FF00B050"/>
      <name val="Arial"/>
      <family val="2"/>
    </font>
    <font>
      <sz val="12"/>
      <color rgb="FFFF0000"/>
      <name val="Arial"/>
      <family val="2"/>
    </font>
    <font>
      <sz val="10"/>
      <color rgb="FFFF0000"/>
      <name val="Arial"/>
      <family val="2"/>
    </font>
    <font>
      <b/>
      <sz val="12"/>
      <color rgb="FFFF0000"/>
      <name val="Arial"/>
      <family val="2"/>
    </font>
    <font>
      <sz val="11"/>
      <color rgb="FFFF0000"/>
      <name val="Calibri"/>
      <family val="2"/>
      <scheme val="minor"/>
    </font>
    <font>
      <sz val="11"/>
      <color rgb="FF00B050"/>
      <name val="Calibri"/>
      <family val="2"/>
      <scheme val="minor"/>
    </font>
    <font>
      <sz val="11"/>
      <color theme="1"/>
      <name val="Calibri"/>
      <family val="2"/>
      <scheme val="minor"/>
    </font>
    <font>
      <b/>
      <i/>
      <sz val="11"/>
      <color theme="1"/>
      <name val="Calibri"/>
      <family val="2"/>
      <scheme val="minor"/>
    </font>
    <font>
      <i/>
      <sz val="11"/>
      <color theme="1"/>
      <name val="Calibri"/>
      <family val="2"/>
      <scheme val="minor"/>
    </font>
    <font>
      <sz val="8"/>
      <name val="Arial"/>
      <family val="2"/>
    </font>
    <font>
      <b/>
      <sz val="8"/>
      <name val="Arial"/>
      <family val="2"/>
    </font>
    <font>
      <i/>
      <sz val="11"/>
      <name val="Calibri"/>
      <family val="2"/>
      <scheme val="minor"/>
    </font>
    <font>
      <b/>
      <sz val="11"/>
      <name val="Calibri"/>
      <family val="2"/>
      <scheme val="minor"/>
    </font>
    <font>
      <b/>
      <sz val="11"/>
      <color rgb="FFFF0000"/>
      <name val="Calibri"/>
      <family val="2"/>
      <scheme val="minor"/>
    </font>
    <font>
      <sz val="9"/>
      <color rgb="FF000000"/>
      <name val="Arial"/>
      <family val="2"/>
    </font>
    <font>
      <b/>
      <sz val="11"/>
      <color theme="1"/>
      <name val="Calibri"/>
      <family val="2"/>
      <charset val="238"/>
      <scheme val="minor"/>
    </font>
    <font>
      <sz val="11"/>
      <name val="Calibri"/>
      <family val="2"/>
      <charset val="238"/>
      <scheme val="minor"/>
    </font>
    <font>
      <b/>
      <sz val="11"/>
      <name val="Calibri"/>
      <family val="2"/>
      <charset val="238"/>
      <scheme val="minor"/>
    </font>
    <font>
      <b/>
      <i/>
      <sz val="11"/>
      <name val="Calibri"/>
      <family val="2"/>
      <scheme val="minor"/>
    </font>
    <font>
      <b/>
      <sz val="10"/>
      <name val="Calibri"/>
      <family val="2"/>
      <scheme val="minor"/>
    </font>
    <font>
      <b/>
      <i/>
      <sz val="10"/>
      <name val="Calibri"/>
      <family val="2"/>
      <scheme val="minor"/>
    </font>
    <font>
      <sz val="10"/>
      <name val="Calibri"/>
      <family val="2"/>
      <scheme val="minor"/>
    </font>
    <font>
      <i/>
      <sz val="10"/>
      <name val="Calibri"/>
      <family val="2"/>
      <scheme val="minor"/>
    </font>
    <font>
      <sz val="10"/>
      <color theme="1"/>
      <name val="Calibri"/>
      <family val="2"/>
      <scheme val="minor"/>
    </font>
    <font>
      <i/>
      <sz val="10"/>
      <color theme="1"/>
      <name val="Calibri"/>
      <family val="2"/>
      <scheme val="minor"/>
    </font>
    <font>
      <vertAlign val="superscript"/>
      <sz val="11"/>
      <color theme="1"/>
      <name val="Calibri"/>
      <family val="2"/>
      <scheme val="minor"/>
    </font>
    <font>
      <sz val="11"/>
      <color theme="1"/>
      <name val="Calibri"/>
      <family val="2"/>
      <charset val="238"/>
      <scheme val="minor"/>
    </font>
    <font>
      <b/>
      <sz val="11"/>
      <color rgb="FFFF0000"/>
      <name val="Calibri"/>
      <family val="2"/>
      <charset val="238"/>
      <scheme val="minor"/>
    </font>
    <font>
      <i/>
      <sz val="11"/>
      <color theme="1"/>
      <name val="Calibri"/>
      <family val="2"/>
      <charset val="238"/>
      <scheme val="minor"/>
    </font>
    <font>
      <b/>
      <sz val="11"/>
      <color theme="0"/>
      <name val="Calibri"/>
      <family val="2"/>
      <scheme val="minor"/>
    </font>
    <font>
      <b/>
      <vertAlign val="superscript"/>
      <sz val="11"/>
      <color theme="1"/>
      <name val="Calibri"/>
      <family val="2"/>
      <scheme val="minor"/>
    </font>
    <font>
      <b/>
      <sz val="10"/>
      <color rgb="FFFF0000"/>
      <name val="Arial"/>
      <family val="2"/>
    </font>
    <font>
      <sz val="11"/>
      <color theme="0"/>
      <name val="Calibri"/>
      <family val="2"/>
      <charset val="238"/>
      <scheme val="minor"/>
    </font>
    <font>
      <vertAlign val="superscript"/>
      <sz val="11"/>
      <name val="Calibri"/>
      <family val="2"/>
      <scheme val="minor"/>
    </font>
    <font>
      <b/>
      <sz val="12"/>
      <color theme="1"/>
      <name val="Calibri"/>
      <family val="2"/>
      <scheme val="minor"/>
    </font>
    <font>
      <sz val="11"/>
      <color theme="0"/>
      <name val="Calibri"/>
      <family val="2"/>
      <scheme val="minor"/>
    </font>
    <font>
      <b/>
      <i/>
      <sz val="11"/>
      <color theme="0"/>
      <name val="Calibri"/>
      <family val="2"/>
      <scheme val="minor"/>
    </font>
    <font>
      <b/>
      <sz val="10"/>
      <color theme="0"/>
      <name val="Calibri"/>
      <family val="2"/>
      <scheme val="minor"/>
    </font>
    <font>
      <b/>
      <sz val="10"/>
      <color theme="0"/>
      <name val="Calibri"/>
      <family val="2"/>
    </font>
    <font>
      <b/>
      <sz val="10"/>
      <color theme="0"/>
      <name val="Arial"/>
      <family val="2"/>
    </font>
    <font>
      <b/>
      <i/>
      <sz val="10"/>
      <color theme="0"/>
      <name val="Arial"/>
      <family val="2"/>
    </font>
    <font>
      <b/>
      <sz val="8.5"/>
      <color theme="0"/>
      <name val="Calibri"/>
      <family val="2"/>
    </font>
    <font>
      <b/>
      <sz val="9"/>
      <color indexed="81"/>
      <name val="Tahoma"/>
      <family val="2"/>
    </font>
    <font>
      <sz val="9"/>
      <color indexed="81"/>
      <name val="Tahoma"/>
      <family val="2"/>
    </font>
  </fonts>
  <fills count="15">
    <fill>
      <patternFill patternType="none"/>
    </fill>
    <fill>
      <patternFill patternType="gray125"/>
    </fill>
    <fill>
      <patternFill patternType="solid">
        <fgColor rgb="FF00B0F0"/>
        <bgColor indexed="64"/>
      </patternFill>
    </fill>
    <fill>
      <patternFill patternType="solid">
        <fgColor theme="6" tint="0.39997558519241921"/>
        <bgColor indexed="64"/>
      </patternFill>
    </fill>
    <fill>
      <patternFill patternType="solid">
        <fgColor rgb="FFFF0000"/>
        <bgColor indexed="64"/>
      </patternFill>
    </fill>
    <fill>
      <patternFill patternType="solid">
        <fgColor rgb="FFFFC000"/>
        <bgColor indexed="64"/>
      </patternFill>
    </fill>
    <fill>
      <patternFill patternType="gray125">
        <bgColor rgb="FFDFDFDF"/>
      </patternFill>
    </fill>
    <fill>
      <patternFill patternType="solid">
        <fgColor rgb="FFFFFF00"/>
        <bgColor indexed="64"/>
      </patternFill>
    </fill>
    <fill>
      <patternFill patternType="solid">
        <fgColor rgb="FF66FFCC"/>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rgb="FFFFFF66"/>
        <bgColor indexed="64"/>
      </patternFill>
    </fill>
    <fill>
      <patternFill patternType="solid">
        <fgColor rgb="FF000099"/>
        <bgColor indexed="64"/>
      </patternFill>
    </fill>
    <fill>
      <patternFill patternType="solid">
        <fgColor rgb="FF002060"/>
        <bgColor indexed="64"/>
      </patternFill>
    </fill>
  </fills>
  <borders count="1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medium">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top style="thin">
        <color indexed="64"/>
      </top>
      <bottom/>
      <diagonal/>
    </border>
    <border>
      <left/>
      <right style="medium">
        <color indexed="64"/>
      </right>
      <top/>
      <bottom/>
      <diagonal/>
    </border>
    <border>
      <left style="medium">
        <color indexed="64"/>
      </left>
      <right style="thin">
        <color indexed="64"/>
      </right>
      <top/>
      <bottom style="thin">
        <color indexed="64"/>
      </bottom>
      <diagonal/>
    </border>
    <border>
      <left/>
      <right style="thin">
        <color indexed="64"/>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style="medium">
        <color indexed="64"/>
      </top>
      <bottom/>
      <diagonal/>
    </border>
    <border>
      <left style="hair">
        <color indexed="64"/>
      </left>
      <right/>
      <top style="hair">
        <color indexed="64"/>
      </top>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style="medium">
        <color indexed="64"/>
      </right>
      <top/>
      <bottom style="hair">
        <color indexed="64"/>
      </bottom>
      <diagonal/>
    </border>
    <border>
      <left style="medium">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hair">
        <color indexed="64"/>
      </right>
      <top/>
      <bottom style="hair">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medium">
        <color indexed="64"/>
      </bottom>
      <diagonal/>
    </border>
    <border>
      <left/>
      <right style="hair">
        <color indexed="64"/>
      </right>
      <top/>
      <bottom/>
      <diagonal/>
    </border>
    <border>
      <left/>
      <right style="hair">
        <color indexed="64"/>
      </right>
      <top style="hair">
        <color indexed="64"/>
      </top>
      <bottom/>
      <diagonal/>
    </border>
    <border>
      <left style="medium">
        <color indexed="64"/>
      </left>
      <right/>
      <top style="medium">
        <color indexed="64"/>
      </top>
      <bottom style="hair">
        <color indexed="64"/>
      </bottom>
      <diagonal/>
    </border>
    <border>
      <left/>
      <right style="hair">
        <color indexed="64"/>
      </right>
      <top style="medium">
        <color indexed="64"/>
      </top>
      <bottom style="medium">
        <color indexed="64"/>
      </bottom>
      <diagonal/>
    </border>
    <border>
      <left/>
      <right style="hair">
        <color indexed="64"/>
      </right>
      <top/>
      <bottom style="medium">
        <color indexed="64"/>
      </bottom>
      <diagonal/>
    </border>
    <border>
      <left/>
      <right/>
      <top style="medium">
        <color indexed="64"/>
      </top>
      <bottom style="hair">
        <color indexed="64"/>
      </bottom>
      <diagonal/>
    </border>
    <border>
      <left style="hair">
        <color indexed="64"/>
      </left>
      <right/>
      <top/>
      <bottom/>
      <diagonal/>
    </border>
    <border>
      <left style="medium">
        <color indexed="64"/>
      </left>
      <right/>
      <top/>
      <bottom style="hair">
        <color indexed="64"/>
      </bottom>
      <diagonal/>
    </border>
    <border>
      <left/>
      <right/>
      <top/>
      <bottom style="hair">
        <color indexed="64"/>
      </bottom>
      <diagonal/>
    </border>
  </borders>
  <cellStyleXfs count="8">
    <xf numFmtId="0" fontId="0" fillId="0" borderId="0"/>
    <xf numFmtId="0" fontId="7" fillId="0" borderId="0"/>
    <xf numFmtId="164" fontId="24" fillId="0" borderId="0" applyFont="0" applyFill="0" applyBorder="0" applyAlignment="0" applyProtection="0"/>
    <xf numFmtId="164" fontId="24" fillId="0" borderId="0" applyFont="0" applyFill="0" applyBorder="0" applyAlignment="0" applyProtection="0"/>
    <xf numFmtId="0" fontId="24" fillId="0" borderId="0"/>
    <xf numFmtId="164" fontId="24" fillId="0" borderId="0" applyFont="0" applyFill="0" applyBorder="0" applyAlignment="0" applyProtection="0"/>
    <xf numFmtId="0" fontId="7" fillId="0" borderId="0"/>
    <xf numFmtId="9" fontId="24" fillId="0" borderId="0" applyFont="0" applyFill="0" applyBorder="0" applyAlignment="0" applyProtection="0"/>
  </cellStyleXfs>
  <cellXfs count="1884">
    <xf numFmtId="0" fontId="0" fillId="0" borderId="0" xfId="0"/>
    <xf numFmtId="0" fontId="0" fillId="0" borderId="0" xfId="0" applyAlignment="1">
      <alignment horizontal="center" vertical="center"/>
    </xf>
    <xf numFmtId="0" fontId="0" fillId="4" borderId="8" xfId="0" applyFill="1" applyBorder="1" applyAlignment="1">
      <alignment horizontal="center"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0" fillId="5" borderId="14" xfId="0" applyFill="1" applyBorder="1" applyAlignment="1">
      <alignment horizontal="center" vertical="center"/>
    </xf>
    <xf numFmtId="0" fontId="0" fillId="4" borderId="9" xfId="0" applyFill="1" applyBorder="1" applyAlignment="1">
      <alignment horizontal="center" vertical="center"/>
    </xf>
    <xf numFmtId="0" fontId="0" fillId="5" borderId="5" xfId="0" applyFill="1" applyBorder="1" applyAlignment="1">
      <alignment horizontal="center" vertical="center"/>
    </xf>
    <xf numFmtId="0" fontId="0" fillId="4" borderId="5" xfId="0" applyFill="1" applyBorder="1" applyAlignment="1">
      <alignment horizontal="center" vertical="center"/>
    </xf>
    <xf numFmtId="0" fontId="0" fillId="5" borderId="15" xfId="0" applyFill="1" applyBorder="1" applyAlignment="1">
      <alignment horizontal="center" vertical="center"/>
    </xf>
    <xf numFmtId="0" fontId="0" fillId="4" borderId="1" xfId="0" applyFill="1" applyBorder="1"/>
    <xf numFmtId="0" fontId="0" fillId="4" borderId="5" xfId="0" applyFill="1" applyBorder="1"/>
    <xf numFmtId="0" fontId="0" fillId="5" borderId="1" xfId="0" applyFill="1" applyBorder="1"/>
    <xf numFmtId="0" fontId="0" fillId="5" borderId="5" xfId="0" applyFill="1" applyBorder="1"/>
    <xf numFmtId="0" fontId="0" fillId="4" borderId="8" xfId="0" applyFill="1" applyBorder="1"/>
    <xf numFmtId="0" fontId="0" fillId="4" borderId="9" xfId="0" applyFill="1" applyBorder="1"/>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1" fillId="0" borderId="9" xfId="0" applyFont="1" applyBorder="1" applyAlignment="1">
      <alignment horizontal="center" vertical="center"/>
    </xf>
    <xf numFmtId="0" fontId="0" fillId="0" borderId="3" xfId="0" applyBorder="1" applyAlignment="1">
      <alignment vertical="center"/>
    </xf>
    <xf numFmtId="0" fontId="0" fillId="0" borderId="1" xfId="0" applyBorder="1" applyAlignment="1">
      <alignment vertical="center"/>
    </xf>
    <xf numFmtId="0" fontId="0" fillId="3" borderId="14"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3" borderId="1" xfId="0" applyFill="1" applyBorder="1" applyAlignment="1">
      <alignment horizontal="center" vertical="center" wrapText="1"/>
    </xf>
    <xf numFmtId="0" fontId="0" fillId="3" borderId="1" xfId="0" applyFill="1" applyBorder="1" applyAlignment="1">
      <alignment wrapText="1"/>
    </xf>
    <xf numFmtId="0" fontId="0" fillId="3" borderId="5" xfId="0" applyFill="1" applyBorder="1" applyAlignment="1">
      <alignment wrapText="1"/>
    </xf>
    <xf numFmtId="0" fontId="0" fillId="3" borderId="5" xfId="0" applyFill="1" applyBorder="1" applyAlignment="1">
      <alignment horizontal="center" vertical="center" wrapText="1"/>
    </xf>
    <xf numFmtId="0" fontId="0" fillId="2" borderId="1" xfId="0" applyFill="1" applyBorder="1" applyAlignment="1">
      <alignment wrapText="1"/>
    </xf>
    <xf numFmtId="0" fontId="0" fillId="2" borderId="5" xfId="0" applyFill="1" applyBorder="1" applyAlignment="1">
      <alignment wrapText="1"/>
    </xf>
    <xf numFmtId="0" fontId="0" fillId="2" borderId="5" xfId="0" applyFill="1" applyBorder="1" applyAlignment="1">
      <alignment horizontal="center" vertical="center" wrapText="1"/>
    </xf>
    <xf numFmtId="0" fontId="0" fillId="3" borderId="14" xfId="0" applyFill="1" applyBorder="1" applyAlignment="1">
      <alignment wrapText="1"/>
    </xf>
    <xf numFmtId="0" fontId="0" fillId="3" borderId="15" xfId="0" applyFill="1" applyBorder="1" applyAlignment="1">
      <alignment wrapText="1"/>
    </xf>
    <xf numFmtId="0" fontId="0" fillId="3" borderId="15" xfId="0" applyFill="1" applyBorder="1" applyAlignment="1">
      <alignment horizontal="center" vertical="center" wrapText="1"/>
    </xf>
    <xf numFmtId="0" fontId="0" fillId="2" borderId="8" xfId="0" applyFill="1" applyBorder="1" applyAlignment="1">
      <alignment wrapText="1"/>
    </xf>
    <xf numFmtId="0" fontId="0" fillId="2" borderId="9" xfId="0" applyFill="1" applyBorder="1" applyAlignment="1">
      <alignment wrapText="1"/>
    </xf>
    <xf numFmtId="0" fontId="0" fillId="2" borderId="3" xfId="0" applyFill="1" applyBorder="1" applyAlignment="1">
      <alignment horizontal="center" vertical="center" wrapText="1"/>
    </xf>
    <xf numFmtId="0" fontId="0" fillId="2" borderId="1" xfId="0" applyFill="1" applyBorder="1" applyAlignment="1">
      <alignment horizontal="center" vertical="center" wrapText="1"/>
    </xf>
    <xf numFmtId="0" fontId="0" fillId="2" borderId="10" xfId="0" applyFill="1" applyBorder="1" applyAlignment="1">
      <alignment vertical="center" wrapText="1"/>
    </xf>
    <xf numFmtId="0" fontId="0" fillId="2" borderId="24" xfId="0" applyFill="1" applyBorder="1" applyAlignment="1">
      <alignment vertical="center" wrapText="1"/>
    </xf>
    <xf numFmtId="0" fontId="0" fillId="0" borderId="1" xfId="0" applyBorder="1" applyAlignment="1">
      <alignment vertical="center" wrapText="1"/>
    </xf>
    <xf numFmtId="0" fontId="0" fillId="0" borderId="5" xfId="0" applyBorder="1" applyAlignment="1">
      <alignment horizontal="center" vertical="center" wrapText="1"/>
    </xf>
    <xf numFmtId="0" fontId="0" fillId="2" borderId="4" xfId="0" applyFill="1" applyBorder="1" applyAlignment="1">
      <alignment horizontal="center" vertical="center" wrapText="1"/>
    </xf>
    <xf numFmtId="0" fontId="2" fillId="0" borderId="1" xfId="0" applyFont="1" applyBorder="1" applyAlignment="1">
      <alignment horizontal="center" vertical="top" wrapText="1"/>
    </xf>
    <xf numFmtId="3" fontId="0" fillId="0" borderId="0" xfId="0" applyNumberFormat="1"/>
    <xf numFmtId="0" fontId="3" fillId="0" borderId="1" xfId="0" applyFont="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Border="1" applyAlignment="1">
      <alignment horizontal="center"/>
    </xf>
    <xf numFmtId="3" fontId="3" fillId="0" borderId="1" xfId="0" applyNumberFormat="1" applyFont="1" applyBorder="1" applyAlignment="1">
      <alignment horizontal="center"/>
    </xf>
    <xf numFmtId="0" fontId="0" fillId="0" borderId="1" xfId="0" applyBorder="1"/>
    <xf numFmtId="3" fontId="0" fillId="0" borderId="1" xfId="0" applyNumberFormat="1" applyBorder="1"/>
    <xf numFmtId="0" fontId="4" fillId="6" borderId="25" xfId="0" applyFont="1" applyFill="1" applyBorder="1" applyAlignment="1">
      <alignment horizontal="center" vertical="top" wrapText="1"/>
    </xf>
    <xf numFmtId="0" fontId="4" fillId="6" borderId="27" xfId="0" applyFont="1" applyFill="1" applyBorder="1" applyAlignment="1">
      <alignment horizontal="center" vertical="top" wrapText="1"/>
    </xf>
    <xf numFmtId="3" fontId="5" fillId="0" borderId="26" xfId="0" applyNumberFormat="1" applyFont="1" applyBorder="1" applyAlignment="1">
      <alignment horizontal="center" vertical="top" wrapText="1"/>
    </xf>
    <xf numFmtId="0" fontId="5" fillId="0" borderId="28" xfId="0" applyFont="1" applyBorder="1" applyAlignment="1">
      <alignment horizontal="center" vertical="top" wrapText="1"/>
    </xf>
    <xf numFmtId="0" fontId="0" fillId="5" borderId="2" xfId="0" applyFill="1" applyBorder="1" applyAlignment="1">
      <alignment horizontal="center" vertical="center"/>
    </xf>
    <xf numFmtId="0" fontId="0" fillId="5" borderId="33" xfId="0" applyFill="1" applyBorder="1" applyAlignment="1">
      <alignment horizontal="center" vertical="center"/>
    </xf>
    <xf numFmtId="0" fontId="0" fillId="0" borderId="2" xfId="0" applyBorder="1"/>
    <xf numFmtId="3" fontId="0" fillId="0" borderId="2" xfId="0" applyNumberFormat="1" applyBorder="1"/>
    <xf numFmtId="0" fontId="0" fillId="0" borderId="3" xfId="0" applyBorder="1"/>
    <xf numFmtId="0" fontId="1" fillId="0" borderId="2" xfId="0" applyFont="1" applyBorder="1" applyAlignment="1">
      <alignment horizontal="center" vertical="center"/>
    </xf>
    <xf numFmtId="0" fontId="1" fillId="0" borderId="33" xfId="0" applyFont="1" applyBorder="1" applyAlignment="1">
      <alignment horizontal="center" vertical="center"/>
    </xf>
    <xf numFmtId="0" fontId="1" fillId="0" borderId="2" xfId="0" applyFont="1" applyBorder="1" applyAlignment="1">
      <alignment horizontal="center"/>
    </xf>
    <xf numFmtId="0" fontId="1" fillId="0" borderId="2" xfId="0" applyFont="1" applyFill="1" applyBorder="1" applyAlignment="1">
      <alignment horizontal="center"/>
    </xf>
    <xf numFmtId="0" fontId="0" fillId="0" borderId="8" xfId="0" applyBorder="1"/>
    <xf numFmtId="3" fontId="0" fillId="0" borderId="8" xfId="0" applyNumberFormat="1" applyBorder="1"/>
    <xf numFmtId="0" fontId="0" fillId="0" borderId="11" xfId="0" applyBorder="1"/>
    <xf numFmtId="3" fontId="0" fillId="0" borderId="19" xfId="0" applyNumberFormat="1" applyBorder="1"/>
    <xf numFmtId="3" fontId="0" fillId="0" borderId="36" xfId="0" applyNumberFormat="1" applyBorder="1"/>
    <xf numFmtId="0" fontId="0" fillId="0" borderId="14" xfId="0" applyBorder="1"/>
    <xf numFmtId="3" fontId="0" fillId="0" borderId="14" xfId="0" applyNumberFormat="1" applyBorder="1"/>
    <xf numFmtId="3" fontId="0" fillId="0" borderId="16" xfId="0" applyNumberFormat="1" applyBorder="1"/>
    <xf numFmtId="3" fontId="0" fillId="0" borderId="11" xfId="0" applyNumberFormat="1" applyBorder="1"/>
    <xf numFmtId="0" fontId="0" fillId="5" borderId="2" xfId="0" applyFill="1" applyBorder="1"/>
    <xf numFmtId="0" fontId="0" fillId="5" borderId="33" xfId="0" applyFill="1" applyBorder="1"/>
    <xf numFmtId="3" fontId="1" fillId="0" borderId="38" xfId="0" applyNumberFormat="1" applyFont="1" applyBorder="1"/>
    <xf numFmtId="3" fontId="1" fillId="0" borderId="39" xfId="0" applyNumberFormat="1" applyFont="1" applyBorder="1"/>
    <xf numFmtId="0" fontId="1" fillId="0" borderId="38" xfId="0" applyFont="1" applyFill="1" applyBorder="1" applyAlignment="1">
      <alignment horizontal="center" vertical="center"/>
    </xf>
    <xf numFmtId="0" fontId="1" fillId="0" borderId="40" xfId="0" applyFont="1" applyFill="1" applyBorder="1" applyAlignment="1">
      <alignment horizontal="center" vertical="center"/>
    </xf>
    <xf numFmtId="0" fontId="1" fillId="0" borderId="30" xfId="0" applyFont="1" applyFill="1" applyBorder="1" applyAlignment="1">
      <alignment horizontal="center" vertical="center"/>
    </xf>
    <xf numFmtId="0" fontId="1" fillId="0" borderId="30" xfId="0" applyFont="1" applyFill="1" applyBorder="1"/>
    <xf numFmtId="0" fontId="1" fillId="0" borderId="38" xfId="0" applyFont="1" applyBorder="1"/>
    <xf numFmtId="0" fontId="1" fillId="0" borderId="32" xfId="0" applyFont="1" applyBorder="1" applyAlignment="1">
      <alignment horizontal="center" vertical="center"/>
    </xf>
    <xf numFmtId="0" fontId="0" fillId="2" borderId="4"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3" borderId="1" xfId="0" applyFont="1" applyFill="1" applyBorder="1" applyAlignment="1">
      <alignment wrapText="1"/>
    </xf>
    <xf numFmtId="0" fontId="0" fillId="3" borderId="5" xfId="0" applyFont="1" applyFill="1" applyBorder="1" applyAlignment="1">
      <alignment wrapText="1"/>
    </xf>
    <xf numFmtId="0" fontId="0" fillId="3" borderId="5" xfId="0" applyFont="1" applyFill="1" applyBorder="1" applyAlignment="1">
      <alignment horizontal="center" vertical="center" wrapText="1"/>
    </xf>
    <xf numFmtId="0" fontId="0" fillId="0" borderId="1" xfId="0" applyFont="1" applyBorder="1"/>
    <xf numFmtId="3" fontId="0" fillId="0" borderId="1" xfId="0" applyNumberFormat="1" applyFont="1" applyBorder="1"/>
    <xf numFmtId="0" fontId="0" fillId="2" borderId="1" xfId="0" applyFont="1" applyFill="1" applyBorder="1" applyAlignment="1">
      <alignment horizontal="center" vertical="center" wrapText="1"/>
    </xf>
    <xf numFmtId="0" fontId="0" fillId="2" borderId="1" xfId="0" applyFont="1" applyFill="1" applyBorder="1" applyAlignment="1">
      <alignment wrapText="1"/>
    </xf>
    <xf numFmtId="0" fontId="0" fillId="2" borderId="5" xfId="0" applyFont="1" applyFill="1" applyBorder="1" applyAlignment="1">
      <alignment wrapText="1"/>
    </xf>
    <xf numFmtId="0" fontId="0" fillId="2" borderId="5"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8" xfId="0" applyFont="1" applyFill="1" applyBorder="1" applyAlignment="1">
      <alignment wrapText="1"/>
    </xf>
    <xf numFmtId="0" fontId="0" fillId="2" borderId="9" xfId="0" applyFont="1" applyFill="1" applyBorder="1" applyAlignment="1">
      <alignment wrapText="1"/>
    </xf>
    <xf numFmtId="0" fontId="0" fillId="2" borderId="9" xfId="0" applyFont="1" applyFill="1" applyBorder="1" applyAlignment="1">
      <alignment horizontal="center" vertical="center" wrapText="1"/>
    </xf>
    <xf numFmtId="0" fontId="0" fillId="0" borderId="8" xfId="0" applyFont="1" applyBorder="1"/>
    <xf numFmtId="3" fontId="0" fillId="0" borderId="8" xfId="0" applyNumberFormat="1" applyFont="1" applyBorder="1"/>
    <xf numFmtId="3" fontId="0" fillId="0" borderId="11" xfId="0" applyNumberFormat="1" applyFont="1" applyBorder="1"/>
    <xf numFmtId="3" fontId="0" fillId="0" borderId="19" xfId="0" applyNumberFormat="1" applyFont="1" applyBorder="1"/>
    <xf numFmtId="0" fontId="0" fillId="3" borderId="14" xfId="0" applyFont="1" applyFill="1" applyBorder="1" applyAlignment="1">
      <alignment horizontal="center" vertical="center" wrapText="1"/>
    </xf>
    <xf numFmtId="0" fontId="0" fillId="3" borderId="14" xfId="0" applyFont="1" applyFill="1" applyBorder="1" applyAlignment="1">
      <alignment wrapText="1"/>
    </xf>
    <xf numFmtId="0" fontId="0" fillId="3" borderId="15" xfId="0" applyFont="1" applyFill="1" applyBorder="1" applyAlignment="1">
      <alignment wrapText="1"/>
    </xf>
    <xf numFmtId="0" fontId="0" fillId="3" borderId="15" xfId="0" applyFont="1" applyFill="1" applyBorder="1" applyAlignment="1">
      <alignment horizontal="center" vertical="center" wrapText="1"/>
    </xf>
    <xf numFmtId="0" fontId="0" fillId="0" borderId="14" xfId="0" applyFont="1" applyBorder="1"/>
    <xf numFmtId="3" fontId="0" fillId="0" borderId="14" xfId="0" applyNumberFormat="1" applyFont="1" applyBorder="1"/>
    <xf numFmtId="3" fontId="0" fillId="0" borderId="16" xfId="0" applyNumberFormat="1" applyFont="1" applyBorder="1"/>
    <xf numFmtId="0" fontId="0" fillId="0" borderId="19" xfId="0" applyBorder="1"/>
    <xf numFmtId="0" fontId="0" fillId="0" borderId="16" xfId="0" applyBorder="1"/>
    <xf numFmtId="0" fontId="0" fillId="0" borderId="16" xfId="0" applyFont="1" applyBorder="1"/>
    <xf numFmtId="0" fontId="1" fillId="0" borderId="36" xfId="0" applyFont="1" applyBorder="1" applyAlignment="1">
      <alignment horizontal="center"/>
    </xf>
    <xf numFmtId="0" fontId="0" fillId="2" borderId="11"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16" xfId="0" applyFill="1" applyBorder="1" applyAlignment="1">
      <alignment horizontal="center" vertical="center" wrapText="1"/>
    </xf>
    <xf numFmtId="0" fontId="0" fillId="3" borderId="14" xfId="0" applyFill="1" applyBorder="1" applyAlignment="1">
      <alignment horizontal="center" wrapText="1"/>
    </xf>
    <xf numFmtId="0" fontId="0" fillId="0" borderId="37" xfId="0" applyBorder="1" applyAlignment="1">
      <alignment vertical="center"/>
    </xf>
    <xf numFmtId="0" fontId="0" fillId="0" borderId="38" xfId="0" applyBorder="1" applyAlignment="1">
      <alignment vertical="center"/>
    </xf>
    <xf numFmtId="0" fontId="0" fillId="5" borderId="14" xfId="0" applyFill="1" applyBorder="1" applyAlignment="1">
      <alignment horizontal="center" vertical="center" wrapText="1"/>
    </xf>
    <xf numFmtId="3" fontId="0" fillId="0" borderId="39" xfId="0" applyNumberFormat="1" applyBorder="1"/>
    <xf numFmtId="3" fontId="0" fillId="0" borderId="38" xfId="0" applyNumberFormat="1" applyBorder="1"/>
    <xf numFmtId="0" fontId="0" fillId="2" borderId="1" xfId="0" applyFill="1" applyBorder="1" applyAlignment="1">
      <alignment horizontal="center" vertical="center" wrapText="1"/>
    </xf>
    <xf numFmtId="0" fontId="2" fillId="0" borderId="3" xfId="0" applyFont="1" applyBorder="1" applyAlignment="1">
      <alignment horizontal="center" vertical="top" wrapText="1"/>
    </xf>
    <xf numFmtId="0" fontId="2" fillId="0" borderId="8" xfId="0" applyFont="1" applyBorder="1" applyAlignment="1">
      <alignment horizontal="center" vertical="top" wrapText="1"/>
    </xf>
    <xf numFmtId="0" fontId="2" fillId="0" borderId="11" xfId="0" applyFont="1" applyBorder="1" applyAlignment="1">
      <alignment horizontal="center" vertical="top" wrapText="1"/>
    </xf>
    <xf numFmtId="0" fontId="2" fillId="0" borderId="14" xfId="0" applyFont="1" applyBorder="1" applyAlignment="1">
      <alignment horizontal="center" vertical="top" wrapText="1"/>
    </xf>
    <xf numFmtId="0" fontId="2" fillId="0" borderId="16" xfId="0" applyFont="1" applyBorder="1" applyAlignment="1">
      <alignment horizontal="center" vertical="top" wrapText="1"/>
    </xf>
    <xf numFmtId="0" fontId="6" fillId="0" borderId="3" xfId="0" applyFont="1" applyBorder="1" applyAlignment="1">
      <alignment horizontal="center" vertical="top" wrapText="1"/>
    </xf>
    <xf numFmtId="0" fontId="6" fillId="0" borderId="1" xfId="0" applyFont="1" applyBorder="1" applyAlignment="1">
      <alignment horizontal="center" vertical="top" wrapText="1"/>
    </xf>
    <xf numFmtId="0" fontId="2" fillId="7" borderId="8" xfId="0" applyFont="1" applyFill="1" applyBorder="1" applyAlignment="1">
      <alignment horizontal="center" vertical="top" wrapText="1"/>
    </xf>
    <xf numFmtId="0" fontId="2" fillId="7" borderId="14" xfId="0" applyFont="1" applyFill="1" applyBorder="1" applyAlignment="1">
      <alignment horizontal="center" vertical="top" wrapText="1"/>
    </xf>
    <xf numFmtId="0" fontId="2" fillId="7" borderId="3" xfId="0" applyFont="1" applyFill="1" applyBorder="1" applyAlignment="1">
      <alignment horizontal="center" vertical="top" wrapText="1"/>
    </xf>
    <xf numFmtId="0" fontId="2" fillId="7" borderId="1" xfId="0" applyFont="1" applyFill="1" applyBorder="1" applyAlignment="1">
      <alignment horizontal="center" vertical="top" wrapText="1"/>
    </xf>
    <xf numFmtId="0" fontId="0" fillId="0" borderId="8" xfId="0" applyBorder="1" applyAlignment="1">
      <alignment horizontal="center" vertical="center"/>
    </xf>
    <xf numFmtId="0" fontId="0" fillId="0" borderId="1" xfId="0" applyBorder="1" applyAlignment="1">
      <alignment horizontal="center" vertical="center"/>
    </xf>
    <xf numFmtId="0" fontId="0" fillId="0" borderId="14" xfId="0" applyBorder="1" applyAlignment="1">
      <alignment horizontal="center" vertical="center"/>
    </xf>
    <xf numFmtId="0" fontId="0" fillId="2" borderId="1" xfId="0" applyFill="1" applyBorder="1" applyAlignment="1">
      <alignment horizontal="center" vertical="center" wrapText="1"/>
    </xf>
    <xf numFmtId="0" fontId="0" fillId="0" borderId="32" xfId="0" applyBorder="1" applyAlignment="1">
      <alignment horizontal="center" vertical="center"/>
    </xf>
    <xf numFmtId="0" fontId="7" fillId="0" borderId="0" xfId="1" applyFont="1" applyProtection="1">
      <protection locked="0"/>
    </xf>
    <xf numFmtId="49" fontId="12" fillId="0" borderId="0" xfId="0" applyNumberFormat="1" applyFont="1" applyBorder="1" applyAlignment="1" applyProtection="1">
      <alignment vertical="center"/>
      <protection locked="0"/>
    </xf>
    <xf numFmtId="0" fontId="12" fillId="0" borderId="0" xfId="1" applyFont="1" applyAlignment="1" applyProtection="1">
      <alignment horizontal="center" wrapText="1"/>
      <protection locked="0"/>
    </xf>
    <xf numFmtId="3" fontId="0" fillId="0" borderId="1" xfId="0" applyNumberFormat="1" applyBorder="1" applyAlignment="1">
      <alignment horizontal="center"/>
    </xf>
    <xf numFmtId="3" fontId="0" fillId="7" borderId="1" xfId="0" applyNumberFormat="1" applyFill="1" applyBorder="1"/>
    <xf numFmtId="3" fontId="1" fillId="0" borderId="41" xfId="0" applyNumberFormat="1" applyFont="1" applyBorder="1"/>
    <xf numFmtId="0" fontId="0" fillId="0" borderId="8" xfId="0" applyBorder="1" applyAlignment="1">
      <alignment vertical="center" wrapText="1"/>
    </xf>
    <xf numFmtId="0" fontId="0" fillId="0" borderId="9" xfId="0" applyBorder="1" applyAlignment="1">
      <alignment horizontal="center" vertical="center" wrapText="1"/>
    </xf>
    <xf numFmtId="0" fontId="0" fillId="0" borderId="14" xfId="0" applyBorder="1" applyAlignment="1">
      <alignment vertical="center" wrapText="1"/>
    </xf>
    <xf numFmtId="0" fontId="0" fillId="0" borderId="15" xfId="0" applyBorder="1" applyAlignment="1">
      <alignment horizontal="center" vertical="center" wrapText="1"/>
    </xf>
    <xf numFmtId="0" fontId="0" fillId="3" borderId="2" xfId="0" applyFill="1" applyBorder="1" applyAlignment="1">
      <alignment horizontal="center" vertical="center" wrapText="1"/>
    </xf>
    <xf numFmtId="0" fontId="1" fillId="0" borderId="39" xfId="0" applyFont="1" applyBorder="1"/>
    <xf numFmtId="3" fontId="1" fillId="0" borderId="7" xfId="0" applyNumberFormat="1" applyFont="1" applyBorder="1"/>
    <xf numFmtId="3" fontId="1" fillId="0" borderId="2" xfId="0" applyNumberFormat="1" applyFont="1" applyBorder="1"/>
    <xf numFmtId="0" fontId="0" fillId="0" borderId="38" xfId="0" applyBorder="1"/>
    <xf numFmtId="0" fontId="0" fillId="0" borderId="39" xfId="0" applyBorder="1"/>
    <xf numFmtId="0" fontId="0" fillId="4" borderId="8" xfId="0" applyFill="1" applyBorder="1" applyAlignment="1">
      <alignment horizontal="center" vertical="center" wrapText="1"/>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xf numFmtId="0" fontId="0" fillId="0" borderId="32" xfId="0" applyBorder="1"/>
    <xf numFmtId="0" fontId="1" fillId="0" borderId="7" xfId="0" applyFont="1" applyBorder="1"/>
    <xf numFmtId="0" fontId="1" fillId="0" borderId="41" xfId="0" applyFont="1" applyBorder="1"/>
    <xf numFmtId="0" fontId="0" fillId="0" borderId="32" xfId="0" applyFill="1" applyBorder="1" applyAlignment="1">
      <alignment horizontal="center" vertical="center" wrapText="1"/>
    </xf>
    <xf numFmtId="0" fontId="0" fillId="0" borderId="38" xfId="0" applyBorder="1" applyAlignment="1">
      <alignment horizontal="center" vertical="center"/>
    </xf>
    <xf numFmtId="0" fontId="13" fillId="0" borderId="1" xfId="0" applyFont="1" applyBorder="1" applyAlignment="1" applyProtection="1">
      <alignment horizontal="center" vertical="center" wrapText="1"/>
      <protection locked="0"/>
    </xf>
    <xf numFmtId="0" fontId="0" fillId="0" borderId="1" xfId="0" applyBorder="1" applyAlignment="1">
      <alignment horizontal="center"/>
    </xf>
    <xf numFmtId="0" fontId="17" fillId="0" borderId="0" xfId="0" applyFont="1"/>
    <xf numFmtId="0" fontId="17" fillId="0" borderId="0" xfId="0" applyFont="1" applyAlignment="1">
      <alignment wrapText="1"/>
    </xf>
    <xf numFmtId="0" fontId="10" fillId="0" borderId="1" xfId="0" applyFont="1" applyBorder="1" applyAlignment="1">
      <alignment wrapText="1"/>
    </xf>
    <xf numFmtId="0" fontId="17" fillId="0" borderId="1" xfId="0" applyFont="1" applyBorder="1" applyAlignment="1">
      <alignment horizontal="center" wrapText="1"/>
    </xf>
    <xf numFmtId="0" fontId="17" fillId="0" borderId="1" xfId="0" applyFont="1" applyBorder="1" applyAlignment="1">
      <alignment vertical="center" wrapText="1"/>
    </xf>
    <xf numFmtId="0" fontId="17" fillId="0" borderId="1" xfId="0" applyFont="1" applyBorder="1" applyAlignment="1">
      <alignment wrapText="1"/>
    </xf>
    <xf numFmtId="0" fontId="18" fillId="0" borderId="1" xfId="0" applyFont="1" applyBorder="1" applyAlignment="1">
      <alignment vertical="center" wrapText="1"/>
    </xf>
    <xf numFmtId="0" fontId="17" fillId="0" borderId="1" xfId="0" applyFont="1" applyBorder="1"/>
    <xf numFmtId="0" fontId="19" fillId="0" borderId="1" xfId="0" applyFont="1" applyBorder="1" applyAlignment="1">
      <alignment wrapText="1"/>
    </xf>
    <xf numFmtId="1" fontId="17" fillId="0" borderId="1" xfId="0" applyNumberFormat="1" applyFont="1" applyBorder="1" applyAlignment="1">
      <alignment wrapText="1"/>
    </xf>
    <xf numFmtId="0" fontId="19" fillId="0" borderId="1" xfId="0" applyFont="1" applyBorder="1" applyAlignment="1">
      <alignment horizontal="center" wrapText="1"/>
    </xf>
    <xf numFmtId="16" fontId="17" fillId="0" borderId="1" xfId="0" applyNumberFormat="1" applyFont="1" applyBorder="1" applyAlignment="1">
      <alignment wrapText="1"/>
    </xf>
    <xf numFmtId="0" fontId="17" fillId="0" borderId="1" xfId="0" applyFont="1" applyBorder="1" applyAlignment="1">
      <alignment horizontal="right" wrapText="1"/>
    </xf>
    <xf numFmtId="3" fontId="17" fillId="0" borderId="1" xfId="0" applyNumberFormat="1" applyFont="1" applyBorder="1" applyAlignment="1">
      <alignment wrapText="1"/>
    </xf>
    <xf numFmtId="165" fontId="17" fillId="0" borderId="1" xfId="0" applyNumberFormat="1" applyFont="1" applyBorder="1" applyAlignment="1">
      <alignment wrapText="1"/>
    </xf>
    <xf numFmtId="0" fontId="20" fillId="0" borderId="1" xfId="0" applyFont="1" applyBorder="1"/>
    <xf numFmtId="0" fontId="18" fillId="0" borderId="1" xfId="0" applyFont="1" applyBorder="1" applyAlignment="1">
      <alignment wrapText="1"/>
    </xf>
    <xf numFmtId="1" fontId="17" fillId="0" borderId="32" xfId="0" applyNumberFormat="1" applyFont="1" applyFill="1" applyBorder="1" applyAlignment="1">
      <alignment wrapText="1"/>
    </xf>
    <xf numFmtId="1" fontId="17" fillId="0" borderId="1" xfId="0" applyNumberFormat="1" applyFont="1" applyFill="1" applyBorder="1" applyAlignment="1">
      <alignment wrapText="1"/>
    </xf>
    <xf numFmtId="165" fontId="17" fillId="0" borderId="1" xfId="0" applyNumberFormat="1" applyFont="1" applyFill="1" applyBorder="1" applyAlignment="1">
      <alignment wrapText="1"/>
    </xf>
    <xf numFmtId="1" fontId="17" fillId="0" borderId="1" xfId="0" applyNumberFormat="1" applyFont="1" applyBorder="1" applyAlignment="1">
      <alignment horizontal="right" wrapText="1"/>
    </xf>
    <xf numFmtId="166" fontId="17" fillId="0" borderId="1" xfId="0" applyNumberFormat="1" applyFont="1" applyBorder="1" applyAlignment="1">
      <alignment horizontal="right" wrapText="1"/>
    </xf>
    <xf numFmtId="4" fontId="17" fillId="0" borderId="1" xfId="0" applyNumberFormat="1" applyFont="1" applyBorder="1" applyAlignment="1">
      <alignment horizontal="right" wrapText="1"/>
    </xf>
    <xf numFmtId="0" fontId="20" fillId="0" borderId="0" xfId="0" applyFont="1"/>
    <xf numFmtId="0" fontId="17" fillId="0" borderId="1" xfId="0" applyFont="1" applyBorder="1" applyAlignment="1">
      <alignment horizontal="center"/>
    </xf>
    <xf numFmtId="0" fontId="21" fillId="0" borderId="1" xfId="0" applyFont="1" applyBorder="1"/>
    <xf numFmtId="0" fontId="19" fillId="0" borderId="1" xfId="0" applyFont="1" applyBorder="1"/>
    <xf numFmtId="2" fontId="18" fillId="0" borderId="1" xfId="0" applyNumberFormat="1" applyFont="1" applyBorder="1" applyAlignment="1">
      <alignment wrapText="1"/>
    </xf>
    <xf numFmtId="0" fontId="0" fillId="0" borderId="0" xfId="0" applyAlignment="1">
      <alignment horizontal="center"/>
    </xf>
    <xf numFmtId="0" fontId="7" fillId="0" borderId="0" xfId="0" applyFont="1" applyAlignment="1">
      <alignment horizontal="center"/>
    </xf>
    <xf numFmtId="0" fontId="7" fillId="0" borderId="0" xfId="0" applyFont="1"/>
    <xf numFmtId="0" fontId="7" fillId="0" borderId="0" xfId="0" applyFont="1" applyAlignment="1">
      <alignment wrapText="1"/>
    </xf>
    <xf numFmtId="2" fontId="9" fillId="8" borderId="1" xfId="0" applyNumberFormat="1" applyFont="1" applyFill="1" applyBorder="1" applyAlignment="1">
      <alignment horizontal="center" vertical="center" wrapText="1"/>
    </xf>
    <xf numFmtId="0" fontId="7" fillId="0" borderId="1" xfId="0" applyFont="1" applyBorder="1" applyAlignment="1">
      <alignment horizontal="center" wrapText="1"/>
    </xf>
    <xf numFmtId="166" fontId="7" fillId="0" borderId="1" xfId="0" applyNumberFormat="1" applyFont="1" applyBorder="1" applyAlignment="1">
      <alignment horizontal="center" wrapText="1"/>
    </xf>
    <xf numFmtId="0" fontId="20" fillId="0" borderId="1" xfId="0" applyFont="1" applyBorder="1" applyAlignment="1">
      <alignment horizontal="center" wrapText="1"/>
    </xf>
    <xf numFmtId="0" fontId="7" fillId="0" borderId="1" xfId="0" applyFont="1" applyBorder="1" applyAlignment="1">
      <alignment horizontal="left" vertical="center" wrapText="1"/>
    </xf>
    <xf numFmtId="0" fontId="9" fillId="0" borderId="1" xfId="0" applyFont="1" applyBorder="1" applyAlignment="1">
      <alignment horizontal="left" vertical="center" wrapText="1"/>
    </xf>
    <xf numFmtId="0" fontId="17" fillId="0" borderId="0" xfId="0" applyFont="1" applyBorder="1" applyAlignment="1">
      <alignment wrapText="1"/>
    </xf>
    <xf numFmtId="0" fontId="0" fillId="0" borderId="0" xfId="0" applyBorder="1"/>
    <xf numFmtId="0" fontId="0" fillId="0" borderId="8" xfId="0" applyBorder="1" applyAlignment="1">
      <alignment horizontal="center" vertical="center"/>
    </xf>
    <xf numFmtId="0" fontId="0" fillId="0" borderId="1" xfId="0" applyBorder="1" applyAlignment="1">
      <alignment horizontal="center" vertical="center"/>
    </xf>
    <xf numFmtId="0" fontId="0" fillId="0" borderId="14" xfId="0" applyBorder="1" applyAlignment="1">
      <alignment horizontal="center" vertical="center"/>
    </xf>
    <xf numFmtId="0" fontId="0" fillId="0" borderId="32" xfId="0" applyBorder="1" applyAlignment="1">
      <alignment horizontal="center" vertical="center"/>
    </xf>
    <xf numFmtId="0" fontId="0" fillId="2" borderId="1" xfId="0" applyFill="1" applyBorder="1" applyAlignment="1">
      <alignment horizontal="center" vertical="center" wrapText="1"/>
    </xf>
    <xf numFmtId="0" fontId="22" fillId="2" borderId="1" xfId="0" applyFont="1" applyFill="1" applyBorder="1" applyAlignment="1">
      <alignment horizontal="center" vertical="center" wrapText="1"/>
    </xf>
    <xf numFmtId="0" fontId="22" fillId="2" borderId="9" xfId="0" applyFont="1" applyFill="1" applyBorder="1" applyAlignment="1">
      <alignment horizontal="center" vertical="center" wrapText="1"/>
    </xf>
    <xf numFmtId="0" fontId="22" fillId="2" borderId="5" xfId="0" applyFont="1" applyFill="1" applyBorder="1" applyAlignment="1">
      <alignment horizontal="center" vertical="center" wrapText="1"/>
    </xf>
    <xf numFmtId="9" fontId="0" fillId="2" borderId="5" xfId="0" applyNumberFormat="1" applyFill="1" applyBorder="1" applyAlignment="1">
      <alignment vertical="center" wrapText="1"/>
    </xf>
    <xf numFmtId="0" fontId="0" fillId="2" borderId="44" xfId="0" applyFill="1" applyBorder="1" applyAlignment="1">
      <alignment vertical="center" wrapText="1"/>
    </xf>
    <xf numFmtId="0" fontId="22" fillId="2" borderId="24" xfId="0" applyFont="1" applyFill="1" applyBorder="1" applyAlignment="1">
      <alignment horizontal="center" vertical="center" wrapText="1"/>
    </xf>
    <xf numFmtId="0" fontId="0" fillId="2" borderId="8" xfId="0" applyFill="1" applyBorder="1" applyAlignment="1">
      <alignment vertical="center" wrapText="1"/>
    </xf>
    <xf numFmtId="0" fontId="22" fillId="2" borderId="8" xfId="0" applyFont="1" applyFill="1" applyBorder="1" applyAlignment="1">
      <alignment horizontal="center" vertical="center" wrapText="1"/>
    </xf>
    <xf numFmtId="0" fontId="0" fillId="2" borderId="8" xfId="0" applyFill="1" applyBorder="1"/>
    <xf numFmtId="3" fontId="0" fillId="2" borderId="8" xfId="0" applyNumberFormat="1" applyFill="1" applyBorder="1"/>
    <xf numFmtId="3" fontId="0" fillId="2" borderId="11" xfId="0" applyNumberFormat="1" applyFill="1" applyBorder="1"/>
    <xf numFmtId="0" fontId="0" fillId="2" borderId="1" xfId="0" applyFill="1" applyBorder="1" applyAlignment="1">
      <alignment vertical="center" wrapText="1"/>
    </xf>
    <xf numFmtId="0" fontId="0" fillId="2" borderId="1" xfId="0" applyFill="1" applyBorder="1"/>
    <xf numFmtId="3" fontId="0" fillId="2" borderId="1" xfId="0" applyNumberFormat="1" applyFill="1" applyBorder="1"/>
    <xf numFmtId="3" fontId="0" fillId="2" borderId="19" xfId="0" applyNumberFormat="1" applyFill="1" applyBorder="1"/>
    <xf numFmtId="0" fontId="22" fillId="2" borderId="1" xfId="0" applyFont="1" applyFill="1" applyBorder="1" applyAlignment="1">
      <alignment horizontal="center"/>
    </xf>
    <xf numFmtId="0" fontId="0" fillId="2" borderId="1" xfId="0" applyFill="1" applyBorder="1" applyAlignment="1">
      <alignment horizontal="center" vertical="center"/>
    </xf>
    <xf numFmtId="0" fontId="0" fillId="3" borderId="1" xfId="0" applyFill="1" applyBorder="1" applyAlignment="1">
      <alignment vertical="center" wrapText="1"/>
    </xf>
    <xf numFmtId="0" fontId="22" fillId="3" borderId="1" xfId="0" applyFont="1" applyFill="1" applyBorder="1" applyAlignment="1">
      <alignment horizontal="center" vertical="center" wrapText="1"/>
    </xf>
    <xf numFmtId="0" fontId="0" fillId="3" borderId="1" xfId="0" applyFill="1" applyBorder="1"/>
    <xf numFmtId="3" fontId="0" fillId="3" borderId="1" xfId="0" applyNumberFormat="1" applyFill="1" applyBorder="1"/>
    <xf numFmtId="3" fontId="0" fillId="3" borderId="19" xfId="0" applyNumberFormat="1" applyFill="1" applyBorder="1"/>
    <xf numFmtId="0" fontId="22" fillId="3" borderId="1" xfId="0" applyFont="1" applyFill="1" applyBorder="1" applyAlignment="1">
      <alignment horizontal="center"/>
    </xf>
    <xf numFmtId="0" fontId="0" fillId="3" borderId="1" xfId="0" applyFill="1" applyBorder="1" applyAlignment="1">
      <alignment horizontal="center" vertical="center"/>
    </xf>
    <xf numFmtId="0" fontId="0" fillId="3" borderId="2" xfId="0" applyFill="1" applyBorder="1"/>
    <xf numFmtId="0" fontId="0" fillId="3" borderId="2" xfId="0" applyFill="1" applyBorder="1" applyAlignment="1">
      <alignment horizontal="center" vertical="center"/>
    </xf>
    <xf numFmtId="3" fontId="0" fillId="3" borderId="2" xfId="0" applyNumberFormat="1" applyFill="1" applyBorder="1"/>
    <xf numFmtId="3" fontId="0" fillId="3" borderId="36" xfId="0" applyNumberFormat="1" applyFill="1" applyBorder="1"/>
    <xf numFmtId="0" fontId="1" fillId="0" borderId="30" xfId="0" applyFont="1" applyBorder="1" applyAlignment="1"/>
    <xf numFmtId="0" fontId="1" fillId="0" borderId="34" xfId="0" applyFont="1" applyBorder="1" applyAlignment="1"/>
    <xf numFmtId="0" fontId="0" fillId="2" borderId="22" xfId="0" applyFill="1" applyBorder="1" applyAlignment="1">
      <alignment vertical="center" wrapText="1"/>
    </xf>
    <xf numFmtId="0" fontId="22" fillId="2" borderId="1" xfId="0" applyFont="1" applyFill="1" applyBorder="1" applyAlignment="1">
      <alignment horizontal="center" vertical="center"/>
    </xf>
    <xf numFmtId="0" fontId="0" fillId="4" borderId="8" xfId="0" applyFill="1" applyBorder="1" applyAlignment="1">
      <alignment horizontal="center"/>
    </xf>
    <xf numFmtId="0" fontId="0" fillId="5" borderId="1" xfId="0" applyFill="1" applyBorder="1" applyAlignment="1">
      <alignment horizontal="center"/>
    </xf>
    <xf numFmtId="0" fontId="0" fillId="4" borderId="1" xfId="0" applyFill="1" applyBorder="1" applyAlignment="1">
      <alignment horizontal="center"/>
    </xf>
    <xf numFmtId="0" fontId="0" fillId="5" borderId="14" xfId="0" applyFill="1" applyBorder="1" applyAlignment="1">
      <alignment horizontal="center"/>
    </xf>
    <xf numFmtId="0" fontId="23" fillId="4" borderId="8" xfId="0" applyFont="1" applyFill="1" applyBorder="1" applyAlignment="1">
      <alignment horizontal="center"/>
    </xf>
    <xf numFmtId="0" fontId="23" fillId="4" borderId="1" xfId="0" applyFont="1" applyFill="1" applyBorder="1" applyAlignment="1">
      <alignment horizontal="center"/>
    </xf>
    <xf numFmtId="0" fontId="23" fillId="4" borderId="1" xfId="0" applyFont="1" applyFill="1" applyBorder="1" applyAlignment="1">
      <alignment horizontal="center" vertical="center"/>
    </xf>
    <xf numFmtId="0" fontId="0" fillId="0" borderId="1" xfId="0" applyBorder="1" applyAlignment="1">
      <alignment horizontal="center" vertical="center"/>
    </xf>
    <xf numFmtId="0" fontId="1" fillId="0" borderId="13" xfId="0" applyFont="1" applyBorder="1" applyAlignment="1">
      <alignment horizontal="center" vertical="center"/>
    </xf>
    <xf numFmtId="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xf>
    <xf numFmtId="0" fontId="1" fillId="0" borderId="9" xfId="0" applyFont="1" applyBorder="1" applyAlignment="1">
      <alignment horizontal="center" vertical="center"/>
    </xf>
    <xf numFmtId="0" fontId="1" fillId="0" borderId="2"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0" fillId="3" borderId="2" xfId="0" applyFill="1" applyBorder="1" applyAlignment="1">
      <alignment wrapText="1"/>
    </xf>
    <xf numFmtId="0" fontId="0" fillId="3" borderId="33" xfId="0" applyFill="1" applyBorder="1" applyAlignment="1">
      <alignment horizontal="center" vertical="center" wrapText="1"/>
    </xf>
    <xf numFmtId="0" fontId="0" fillId="3" borderId="36" xfId="0" applyFill="1" applyBorder="1" applyAlignment="1">
      <alignment horizontal="center" vertical="center" wrapText="1"/>
    </xf>
    <xf numFmtId="9" fontId="0" fillId="2" borderId="8" xfId="0" applyNumberFormat="1" applyFill="1" applyBorder="1" applyAlignment="1">
      <alignment horizontal="center" vertical="center" wrapText="1"/>
    </xf>
    <xf numFmtId="0" fontId="0" fillId="2" borderId="19" xfId="0" applyFill="1" applyBorder="1" applyAlignment="1">
      <alignment horizontal="center" vertical="center" wrapText="1"/>
    </xf>
    <xf numFmtId="9" fontId="0" fillId="2" borderId="8" xfId="0" applyNumberFormat="1" applyFill="1" applyBorder="1" applyAlignment="1">
      <alignment vertical="center" wrapText="1"/>
    </xf>
    <xf numFmtId="9" fontId="0" fillId="2" borderId="1" xfId="0" applyNumberFormat="1" applyFill="1" applyBorder="1" applyAlignment="1">
      <alignment vertical="center" wrapText="1"/>
    </xf>
    <xf numFmtId="0" fontId="0" fillId="5" borderId="8" xfId="0" applyFill="1" applyBorder="1" applyAlignment="1">
      <alignment horizontal="center" vertical="center"/>
    </xf>
    <xf numFmtId="0" fontId="0" fillId="4" borderId="45" xfId="0" applyFill="1" applyBorder="1" applyAlignment="1">
      <alignment horizontal="center" vertical="center"/>
    </xf>
    <xf numFmtId="0" fontId="0" fillId="5" borderId="19" xfId="0" applyFill="1" applyBorder="1" applyAlignment="1">
      <alignment horizontal="center" vertical="center"/>
    </xf>
    <xf numFmtId="0" fontId="0" fillId="4" borderId="14" xfId="0" applyFill="1" applyBorder="1" applyAlignment="1">
      <alignment horizontal="center" vertical="center"/>
    </xf>
    <xf numFmtId="0" fontId="0" fillId="4" borderId="55" xfId="0" applyFill="1" applyBorder="1" applyAlignment="1">
      <alignment horizontal="center" vertical="center"/>
    </xf>
    <xf numFmtId="0" fontId="0" fillId="5" borderId="11" xfId="0" applyFill="1" applyBorder="1" applyAlignment="1">
      <alignment horizontal="center" vertical="center"/>
    </xf>
    <xf numFmtId="0" fontId="0" fillId="4" borderId="11" xfId="0" applyFill="1" applyBorder="1" applyAlignment="1">
      <alignment horizontal="center" vertical="center"/>
    </xf>
    <xf numFmtId="0" fontId="0" fillId="5" borderId="36" xfId="0" applyFill="1" applyBorder="1" applyAlignment="1">
      <alignment horizontal="center" vertical="center"/>
    </xf>
    <xf numFmtId="0" fontId="0" fillId="0" borderId="43" xfId="0" applyBorder="1"/>
    <xf numFmtId="0" fontId="0" fillId="0" borderId="51" xfId="0" applyBorder="1"/>
    <xf numFmtId="0" fontId="0" fillId="0" borderId="54" xfId="0" applyBorder="1"/>
    <xf numFmtId="0" fontId="0" fillId="0" borderId="56" xfId="0" applyBorder="1"/>
    <xf numFmtId="0" fontId="0" fillId="0" borderId="28" xfId="0" applyBorder="1"/>
    <xf numFmtId="0" fontId="0" fillId="0" borderId="43" xfId="0" applyBorder="1" applyAlignment="1">
      <alignment horizontal="center"/>
    </xf>
    <xf numFmtId="0" fontId="0" fillId="0" borderId="0" xfId="0" applyBorder="1" applyAlignment="1">
      <alignment horizontal="center"/>
    </xf>
    <xf numFmtId="0" fontId="0" fillId="0" borderId="51" xfId="0" applyBorder="1" applyAlignment="1">
      <alignment horizontal="center"/>
    </xf>
    <xf numFmtId="0" fontId="0" fillId="0" borderId="54" xfId="0" applyBorder="1" applyAlignment="1">
      <alignment horizontal="center"/>
    </xf>
    <xf numFmtId="0" fontId="0" fillId="0" borderId="56" xfId="0" applyBorder="1" applyAlignment="1">
      <alignment horizontal="center"/>
    </xf>
    <xf numFmtId="0" fontId="0" fillId="0" borderId="28" xfId="0" applyBorder="1" applyAlignment="1">
      <alignment horizontal="center"/>
    </xf>
    <xf numFmtId="0" fontId="0" fillId="0" borderId="21" xfId="0" applyBorder="1" applyAlignment="1">
      <alignment horizontal="center"/>
    </xf>
    <xf numFmtId="0" fontId="0" fillId="0" borderId="19" xfId="0" applyBorder="1" applyAlignment="1">
      <alignment horizontal="center"/>
    </xf>
    <xf numFmtId="0" fontId="0" fillId="0" borderId="12" xfId="0" applyBorder="1" applyAlignment="1">
      <alignment horizontal="center"/>
    </xf>
    <xf numFmtId="0" fontId="0" fillId="0" borderId="14" xfId="0" applyBorder="1" applyAlignment="1">
      <alignment horizontal="center"/>
    </xf>
    <xf numFmtId="0" fontId="0" fillId="0" borderId="16" xfId="0" applyBorder="1" applyAlignment="1">
      <alignment horizontal="center"/>
    </xf>
    <xf numFmtId="3" fontId="0" fillId="0" borderId="0" xfId="0" applyNumberFormat="1" applyBorder="1" applyAlignment="1">
      <alignment horizontal="center"/>
    </xf>
    <xf numFmtId="3" fontId="0" fillId="0" borderId="56" xfId="0" applyNumberFormat="1" applyBorder="1" applyAlignment="1">
      <alignment horizontal="center"/>
    </xf>
    <xf numFmtId="0" fontId="5" fillId="0" borderId="26" xfId="0" applyFont="1" applyFill="1" applyBorder="1" applyAlignment="1">
      <alignment horizontal="center" vertical="top" wrapText="1"/>
    </xf>
    <xf numFmtId="0" fontId="5" fillId="0" borderId="28" xfId="0" applyFont="1" applyFill="1" applyBorder="1" applyAlignment="1">
      <alignment horizontal="center" vertical="top" wrapText="1"/>
    </xf>
    <xf numFmtId="0" fontId="0" fillId="2" borderId="1" xfId="0" applyFill="1" applyBorder="1" applyAlignment="1">
      <alignment horizontal="center" vertical="center" wrapText="1"/>
    </xf>
    <xf numFmtId="0" fontId="7" fillId="8" borderId="0" xfId="0" applyFont="1" applyFill="1"/>
    <xf numFmtId="0" fontId="3" fillId="0" borderId="1" xfId="0" applyFont="1" applyBorder="1" applyAlignment="1">
      <alignment horizontal="center" vertical="top" wrapText="1"/>
    </xf>
    <xf numFmtId="3" fontId="7" fillId="0" borderId="1" xfId="0" applyNumberFormat="1" applyFont="1" applyBorder="1" applyAlignment="1">
      <alignment horizontal="left" vertical="center" wrapText="1"/>
    </xf>
    <xf numFmtId="3" fontId="7" fillId="0" borderId="1" xfId="0" applyNumberFormat="1" applyFont="1" applyBorder="1" applyAlignment="1">
      <alignment horizontal="center" wrapText="1"/>
    </xf>
    <xf numFmtId="3" fontId="20" fillId="0" borderId="1" xfId="0" applyNumberFormat="1" applyFont="1" applyBorder="1" applyAlignment="1">
      <alignment horizontal="center" wrapText="1"/>
    </xf>
    <xf numFmtId="3" fontId="7" fillId="0" borderId="1" xfId="0" applyNumberFormat="1" applyFont="1" applyFill="1" applyBorder="1" applyAlignment="1">
      <alignment horizontal="left" vertical="center" wrapText="1"/>
    </xf>
    <xf numFmtId="3" fontId="7" fillId="0" borderId="1" xfId="0" applyNumberFormat="1" applyFont="1" applyFill="1" applyBorder="1" applyAlignment="1">
      <alignment horizontal="center" wrapText="1"/>
    </xf>
    <xf numFmtId="3" fontId="17" fillId="0" borderId="1" xfId="0" applyNumberFormat="1" applyFont="1" applyBorder="1" applyAlignment="1">
      <alignment vertical="center" wrapText="1"/>
    </xf>
    <xf numFmtId="3" fontId="19" fillId="0" borderId="1" xfId="0" applyNumberFormat="1" applyFont="1" applyBorder="1" applyAlignment="1">
      <alignment wrapText="1"/>
    </xf>
    <xf numFmtId="3" fontId="7" fillId="8" borderId="0" xfId="0" applyNumberFormat="1" applyFont="1" applyFill="1"/>
    <xf numFmtId="3" fontId="9" fillId="0" borderId="1" xfId="0" applyNumberFormat="1" applyFont="1" applyBorder="1" applyAlignment="1">
      <alignment horizontal="left" vertical="center" wrapText="1"/>
    </xf>
    <xf numFmtId="3" fontId="7" fillId="0" borderId="1" xfId="0" applyNumberFormat="1" applyFont="1" applyBorder="1" applyAlignment="1">
      <alignment wrapText="1"/>
    </xf>
    <xf numFmtId="2" fontId="3" fillId="0" borderId="1" xfId="0" applyNumberFormat="1" applyFont="1" applyBorder="1" applyAlignment="1">
      <alignment horizontal="center" vertical="top" wrapText="1"/>
    </xf>
    <xf numFmtId="1" fontId="2" fillId="7" borderId="3" xfId="0" applyNumberFormat="1" applyFont="1" applyFill="1" applyBorder="1" applyAlignment="1">
      <alignment horizontal="center" vertical="top" wrapText="1"/>
    </xf>
    <xf numFmtId="0" fontId="0" fillId="0" borderId="0" xfId="0" applyFont="1" applyBorder="1" applyAlignment="1">
      <alignment horizontal="center"/>
    </xf>
    <xf numFmtId="0" fontId="0" fillId="0" borderId="0" xfId="0" applyFont="1" applyAlignment="1">
      <alignment horizontal="center" vertical="center"/>
    </xf>
    <xf numFmtId="3" fontId="0" fillId="0" borderId="1" xfId="0" applyNumberFormat="1" applyBorder="1" applyAlignment="1">
      <alignment horizontal="center" vertical="center"/>
    </xf>
    <xf numFmtId="3" fontId="0" fillId="0" borderId="1" xfId="0" applyNumberFormat="1" applyFill="1" applyBorder="1" applyAlignment="1">
      <alignment horizontal="center" vertical="center"/>
    </xf>
    <xf numFmtId="49" fontId="29" fillId="0" borderId="0" xfId="0" applyNumberFormat="1" applyFont="1" applyBorder="1" applyAlignment="1" applyProtection="1">
      <alignment horizontal="center" vertical="center"/>
      <protection locked="0"/>
    </xf>
    <xf numFmtId="0" fontId="30" fillId="0" borderId="0" xfId="1" applyFont="1" applyAlignment="1" applyProtection="1">
      <alignment horizontal="center" wrapText="1"/>
      <protection locked="0"/>
    </xf>
    <xf numFmtId="0" fontId="16" fillId="0" borderId="0" xfId="1" applyFont="1" applyAlignment="1" applyProtection="1">
      <alignment horizontal="left" wrapText="1"/>
      <protection locked="0"/>
    </xf>
    <xf numFmtId="0" fontId="0" fillId="0" borderId="0" xfId="0" applyFont="1" applyAlignment="1">
      <alignment horizontal="center"/>
    </xf>
    <xf numFmtId="0" fontId="0" fillId="0" borderId="0" xfId="0" applyFont="1" applyAlignment="1">
      <alignment horizontal="left" wrapText="1"/>
    </xf>
    <xf numFmtId="0" fontId="0" fillId="0" borderId="0" xfId="0" applyAlignment="1">
      <alignment horizontal="center"/>
    </xf>
    <xf numFmtId="0" fontId="0" fillId="0" borderId="0" xfId="0" applyAlignment="1">
      <alignment horizontal="center"/>
    </xf>
    <xf numFmtId="0" fontId="0" fillId="0" borderId="0" xfId="0"/>
    <xf numFmtId="1" fontId="0" fillId="0" borderId="1" xfId="0" applyNumberFormat="1" applyBorder="1" applyAlignment="1">
      <alignment horizontal="center" wrapText="1"/>
    </xf>
    <xf numFmtId="1" fontId="0" fillId="0" borderId="1" xfId="0" applyNumberFormat="1" applyFill="1" applyBorder="1" applyAlignment="1">
      <alignment horizontal="center" wrapText="1"/>
    </xf>
    <xf numFmtId="0" fontId="22" fillId="0" borderId="1" xfId="0" applyFont="1" applyBorder="1" applyAlignment="1">
      <alignment horizontal="center"/>
    </xf>
    <xf numFmtId="0" fontId="0" fillId="0" borderId="0" xfId="0" applyAlignment="1">
      <alignment wrapText="1"/>
    </xf>
    <xf numFmtId="0" fontId="0" fillId="0" borderId="0" xfId="0" applyFont="1" applyAlignment="1">
      <alignment horizontal="center"/>
    </xf>
    <xf numFmtId="167" fontId="34" fillId="0" borderId="58" xfId="2" applyNumberFormat="1" applyFont="1" applyFill="1" applyBorder="1" applyAlignment="1">
      <alignment horizontal="center" vertical="center"/>
    </xf>
    <xf numFmtId="0" fontId="25" fillId="0" borderId="58" xfId="1" applyFont="1" applyFill="1" applyBorder="1" applyAlignment="1" applyProtection="1">
      <alignment horizontal="center" vertical="center" wrapText="1"/>
      <protection locked="0"/>
    </xf>
    <xf numFmtId="3" fontId="0" fillId="0" borderId="58" xfId="0" applyNumberFormat="1" applyFont="1" applyFill="1" applyBorder="1" applyAlignment="1" applyProtection="1">
      <alignment horizontal="left" vertical="center" wrapText="1"/>
      <protection locked="0"/>
    </xf>
    <xf numFmtId="3" fontId="0" fillId="0" borderId="58" xfId="0" applyNumberFormat="1" applyFill="1" applyBorder="1" applyAlignment="1" applyProtection="1">
      <alignment horizontal="left" vertical="center" wrapText="1"/>
      <protection locked="0"/>
    </xf>
    <xf numFmtId="0" fontId="33" fillId="0" borderId="0" xfId="0" applyFont="1" applyAlignment="1">
      <alignment horizontal="center"/>
    </xf>
    <xf numFmtId="0" fontId="22" fillId="0" borderId="0" xfId="0" applyFont="1" applyAlignment="1">
      <alignment horizontal="center" vertical="center"/>
    </xf>
    <xf numFmtId="0" fontId="22" fillId="0" borderId="58" xfId="0" applyFont="1" applyBorder="1" applyAlignment="1">
      <alignment horizontal="center" vertical="center"/>
    </xf>
    <xf numFmtId="3" fontId="22" fillId="0" borderId="58" xfId="0" applyNumberFormat="1" applyFont="1" applyBorder="1" applyAlignment="1">
      <alignment horizontal="center" vertical="center"/>
    </xf>
    <xf numFmtId="3" fontId="22" fillId="0" borderId="58" xfId="0" applyNumberFormat="1" applyFont="1" applyFill="1" applyBorder="1" applyAlignment="1">
      <alignment horizontal="center" vertical="center"/>
    </xf>
    <xf numFmtId="3" fontId="9" fillId="0" borderId="1" xfId="0" applyNumberFormat="1" applyFont="1" applyFill="1" applyBorder="1" applyAlignment="1" applyProtection="1">
      <alignment horizontal="center" vertical="center" wrapText="1"/>
      <protection locked="0"/>
    </xf>
    <xf numFmtId="0" fontId="0" fillId="0" borderId="58" xfId="0" applyFont="1" applyBorder="1" applyAlignment="1">
      <alignment horizontal="center" vertical="center"/>
    </xf>
    <xf numFmtId="0" fontId="15" fillId="0" borderId="0" xfId="0" quotePrefix="1" applyFont="1" applyAlignment="1">
      <alignment vertical="center" wrapText="1"/>
    </xf>
    <xf numFmtId="3" fontId="15" fillId="0" borderId="0" xfId="0" quotePrefix="1" applyNumberFormat="1" applyFont="1" applyAlignment="1">
      <alignment vertical="center" wrapText="1"/>
    </xf>
    <xf numFmtId="3" fontId="0" fillId="0" borderId="1"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0" fontId="38" fillId="0" borderId="1" xfId="0" applyFont="1" applyFill="1" applyBorder="1" applyAlignment="1" applyProtection="1">
      <alignment horizontal="center" vertical="center" wrapText="1"/>
      <protection locked="0"/>
    </xf>
    <xf numFmtId="0" fontId="40" fillId="0" borderId="1" xfId="0" applyFont="1" applyBorder="1" applyAlignment="1" applyProtection="1">
      <alignment horizontal="center" vertical="center" wrapText="1"/>
      <protection locked="0"/>
    </xf>
    <xf numFmtId="3" fontId="37" fillId="0" borderId="1" xfId="0" applyNumberFormat="1" applyFont="1" applyFill="1" applyBorder="1" applyAlignment="1" applyProtection="1">
      <alignment horizontal="center" vertical="center" wrapText="1"/>
      <protection locked="0"/>
    </xf>
    <xf numFmtId="0" fontId="42" fillId="0" borderId="1" xfId="0" applyFont="1" applyBorder="1" applyAlignment="1" applyProtection="1">
      <alignment horizontal="center" vertical="center" wrapText="1"/>
      <protection locked="0"/>
    </xf>
    <xf numFmtId="49" fontId="37" fillId="0" borderId="21" xfId="0" applyNumberFormat="1" applyFont="1" applyFill="1" applyBorder="1" applyAlignment="1" applyProtection="1">
      <alignment horizontal="center" vertical="center"/>
      <protection locked="0"/>
    </xf>
    <xf numFmtId="49" fontId="39" fillId="0" borderId="21" xfId="0" applyNumberFormat="1" applyFont="1" applyBorder="1" applyAlignment="1" applyProtection="1">
      <alignment horizontal="center" vertical="center"/>
      <protection locked="0"/>
    </xf>
    <xf numFmtId="49" fontId="41" fillId="0" borderId="21" xfId="0" applyNumberFormat="1" applyFont="1" applyBorder="1" applyAlignment="1" applyProtection="1">
      <alignment horizontal="center" vertical="center"/>
      <protection locked="0"/>
    </xf>
    <xf numFmtId="49" fontId="7" fillId="0" borderId="21" xfId="0" applyNumberFormat="1" applyFont="1" applyBorder="1" applyAlignment="1" applyProtection="1">
      <alignment horizontal="center" vertical="center"/>
      <protection locked="0"/>
    </xf>
    <xf numFmtId="0" fontId="15" fillId="0" borderId="0" xfId="0" quotePrefix="1" applyFont="1" applyAlignment="1">
      <alignment horizontal="center" vertical="center" wrapText="1"/>
    </xf>
    <xf numFmtId="0" fontId="0" fillId="9" borderId="0" xfId="0" applyFill="1" applyAlignment="1">
      <alignment horizontal="center" wrapText="1"/>
    </xf>
    <xf numFmtId="49" fontId="29" fillId="0" borderId="54" xfId="0" applyNumberFormat="1" applyFont="1" applyBorder="1" applyAlignment="1" applyProtection="1">
      <alignment vertical="center"/>
      <protection locked="0"/>
    </xf>
    <xf numFmtId="0" fontId="30" fillId="9" borderId="56" xfId="0" applyFont="1" applyFill="1" applyBorder="1" applyAlignment="1" applyProtection="1">
      <alignment horizontal="center" vertical="center" wrapText="1"/>
      <protection locked="0"/>
    </xf>
    <xf numFmtId="4" fontId="30" fillId="0" borderId="56" xfId="0" applyNumberFormat="1" applyFont="1" applyFill="1" applyBorder="1" applyAlignment="1" applyProtection="1">
      <alignment horizontal="center" wrapText="1"/>
      <protection locked="0"/>
    </xf>
    <xf numFmtId="4" fontId="30" fillId="0" borderId="28" xfId="0" applyNumberFormat="1" applyFont="1" applyFill="1" applyBorder="1" applyAlignment="1" applyProtection="1">
      <alignment horizontal="center" wrapText="1"/>
      <protection locked="0"/>
    </xf>
    <xf numFmtId="49" fontId="26" fillId="0" borderId="60" xfId="0" applyNumberFormat="1" applyFont="1" applyBorder="1" applyAlignment="1" applyProtection="1">
      <alignment horizontal="center" vertical="center"/>
      <protection locked="0"/>
    </xf>
    <xf numFmtId="0" fontId="25" fillId="0" borderId="60" xfId="1" applyFont="1" applyFill="1" applyBorder="1" applyAlignment="1" applyProtection="1">
      <alignment horizontal="center" vertical="center" wrapText="1"/>
      <protection locked="0"/>
    </xf>
    <xf numFmtId="0" fontId="26" fillId="0" borderId="60" xfId="1" applyFont="1" applyBorder="1" applyAlignment="1" applyProtection="1">
      <alignment horizontal="left" vertical="center" wrapText="1"/>
      <protection locked="0"/>
    </xf>
    <xf numFmtId="0" fontId="0" fillId="0" borderId="60" xfId="0" applyFont="1" applyBorder="1" applyAlignment="1">
      <alignment horizontal="center" vertical="center"/>
    </xf>
    <xf numFmtId="0" fontId="22" fillId="0" borderId="60" xfId="0" applyFont="1" applyBorder="1" applyAlignment="1">
      <alignment horizontal="center" vertical="center"/>
    </xf>
    <xf numFmtId="0" fontId="14" fillId="0" borderId="0" xfId="0" applyFont="1" applyAlignment="1">
      <alignment vertical="center" wrapText="1"/>
    </xf>
    <xf numFmtId="3" fontId="14" fillId="0" borderId="0" xfId="0" applyNumberFormat="1" applyFont="1" applyAlignment="1">
      <alignment vertical="center" wrapText="1"/>
    </xf>
    <xf numFmtId="3" fontId="0" fillId="0" borderId="58" xfId="0" applyNumberFormat="1" applyFill="1" applyBorder="1" applyAlignment="1" applyProtection="1">
      <alignment horizontal="justify" vertical="justify" wrapText="1"/>
      <protection locked="0"/>
    </xf>
    <xf numFmtId="0" fontId="0" fillId="0" borderId="0" xfId="0" applyFont="1" applyAlignment="1">
      <alignment horizontal="center"/>
    </xf>
    <xf numFmtId="3" fontId="1" fillId="0" borderId="58" xfId="0" applyNumberFormat="1" applyFont="1" applyFill="1" applyBorder="1" applyAlignment="1">
      <alignment horizontal="center" vertical="center"/>
    </xf>
    <xf numFmtId="3" fontId="31" fillId="0" borderId="58" xfId="0" applyNumberFormat="1" applyFont="1" applyFill="1" applyBorder="1" applyAlignment="1">
      <alignment horizontal="center" vertical="center"/>
    </xf>
    <xf numFmtId="0" fontId="0" fillId="0" borderId="0" xfId="0" applyFont="1" applyAlignment="1">
      <alignment horizontal="center"/>
    </xf>
    <xf numFmtId="0" fontId="0" fillId="0" borderId="0" xfId="0" applyFont="1" applyAlignment="1">
      <alignment horizontal="center"/>
    </xf>
    <xf numFmtId="3" fontId="0" fillId="0" borderId="58" xfId="0" applyNumberFormat="1" applyFill="1" applyBorder="1" applyAlignment="1">
      <alignment horizontal="center" vertical="center"/>
    </xf>
    <xf numFmtId="0" fontId="0" fillId="0" borderId="58" xfId="0" applyFont="1" applyFill="1" applyBorder="1" applyAlignment="1">
      <alignment horizontal="center" vertical="center"/>
    </xf>
    <xf numFmtId="0" fontId="22" fillId="0" borderId="58" xfId="0" applyFont="1" applyFill="1" applyBorder="1" applyAlignment="1">
      <alignment horizontal="center" vertical="center"/>
    </xf>
    <xf numFmtId="0" fontId="0" fillId="0" borderId="60" xfId="0" applyFont="1" applyFill="1" applyBorder="1" applyAlignment="1">
      <alignment horizontal="center" vertical="center"/>
    </xf>
    <xf numFmtId="0" fontId="22" fillId="0" borderId="60" xfId="0" applyFont="1" applyFill="1" applyBorder="1" applyAlignment="1">
      <alignment horizontal="center" vertical="center"/>
    </xf>
    <xf numFmtId="0" fontId="0" fillId="0" borderId="0" xfId="0" applyFont="1" applyFill="1" applyAlignment="1">
      <alignment horizontal="center"/>
    </xf>
    <xf numFmtId="3" fontId="0" fillId="0" borderId="0" xfId="0" applyNumberFormat="1" applyFont="1" applyFill="1" applyAlignment="1">
      <alignment horizontal="center"/>
    </xf>
    <xf numFmtId="37" fontId="16" fillId="0" borderId="58" xfId="2" applyNumberFormat="1" applyFont="1" applyFill="1" applyBorder="1" applyAlignment="1">
      <alignment horizontal="center" vertical="center"/>
    </xf>
    <xf numFmtId="37" fontId="34" fillId="0" borderId="58" xfId="2" applyNumberFormat="1" applyFont="1" applyFill="1" applyBorder="1" applyAlignment="1">
      <alignment horizontal="center" vertical="center"/>
    </xf>
    <xf numFmtId="1" fontId="34" fillId="0" borderId="58" xfId="2" applyNumberFormat="1" applyFont="1" applyFill="1" applyBorder="1" applyAlignment="1">
      <alignment horizontal="center" vertical="center"/>
    </xf>
    <xf numFmtId="0" fontId="0" fillId="0" borderId="0" xfId="0" applyFont="1" applyAlignment="1">
      <alignment horizontal="center"/>
    </xf>
    <xf numFmtId="1" fontId="0" fillId="0" borderId="58" xfId="0" applyNumberFormat="1" applyFill="1" applyBorder="1" applyAlignment="1">
      <alignment horizontal="center" vertical="center"/>
    </xf>
    <xf numFmtId="0" fontId="0" fillId="0" borderId="0" xfId="0" applyFont="1" applyAlignment="1">
      <alignment horizontal="center"/>
    </xf>
    <xf numFmtId="0" fontId="0" fillId="0" borderId="0" xfId="0" applyFont="1" applyAlignment="1">
      <alignment horizontal="center"/>
    </xf>
    <xf numFmtId="0" fontId="0" fillId="0" borderId="0" xfId="0" applyFont="1" applyAlignment="1">
      <alignment horizontal="center"/>
    </xf>
    <xf numFmtId="1" fontId="0" fillId="0" borderId="58" xfId="0" applyNumberFormat="1" applyFont="1" applyFill="1" applyBorder="1" applyAlignment="1">
      <alignment horizontal="center" vertical="center"/>
    </xf>
    <xf numFmtId="167" fontId="0" fillId="0" borderId="58" xfId="2" applyNumberFormat="1" applyFont="1" applyFill="1" applyBorder="1" applyAlignment="1">
      <alignment horizontal="left" vertical="center" wrapText="1"/>
    </xf>
    <xf numFmtId="3" fontId="34" fillId="0" borderId="58" xfId="2" applyNumberFormat="1" applyFont="1" applyFill="1" applyBorder="1" applyAlignment="1">
      <alignment horizontal="center" vertical="center"/>
    </xf>
    <xf numFmtId="167" fontId="0" fillId="0" borderId="58" xfId="2" applyNumberFormat="1" applyFont="1" applyFill="1" applyBorder="1" applyAlignment="1">
      <alignment horizontal="center" vertical="center"/>
    </xf>
    <xf numFmtId="0" fontId="0" fillId="0" borderId="58" xfId="0" applyFont="1" applyFill="1" applyBorder="1" applyAlignment="1">
      <alignment horizontal="center"/>
    </xf>
    <xf numFmtId="3" fontId="16" fillId="0" borderId="58" xfId="2" applyNumberFormat="1" applyFont="1" applyFill="1" applyBorder="1" applyAlignment="1">
      <alignment horizontal="center" vertical="center"/>
    </xf>
    <xf numFmtId="3" fontId="16" fillId="0" borderId="58" xfId="0" applyNumberFormat="1" applyFont="1" applyFill="1" applyBorder="1" applyAlignment="1">
      <alignment horizontal="center" vertical="center"/>
    </xf>
    <xf numFmtId="167" fontId="16" fillId="0" borderId="58" xfId="2" applyNumberFormat="1" applyFont="1" applyFill="1" applyBorder="1" applyAlignment="1">
      <alignment horizontal="center" vertical="center"/>
    </xf>
    <xf numFmtId="3" fontId="16" fillId="0" borderId="58" xfId="0" applyNumberFormat="1" applyFont="1" applyFill="1" applyBorder="1" applyAlignment="1" applyProtection="1">
      <alignment horizontal="left" vertical="center" wrapText="1"/>
      <protection locked="0"/>
    </xf>
    <xf numFmtId="1" fontId="16" fillId="0" borderId="58" xfId="0" applyNumberFormat="1" applyFont="1" applyFill="1" applyBorder="1" applyAlignment="1">
      <alignment horizontal="center" vertical="center"/>
    </xf>
    <xf numFmtId="0" fontId="0" fillId="0" borderId="58" xfId="0" applyFill="1" applyBorder="1" applyAlignment="1">
      <alignment horizontal="center" vertical="center"/>
    </xf>
    <xf numFmtId="2" fontId="0" fillId="0" borderId="58" xfId="2" applyNumberFormat="1" applyFont="1" applyFill="1" applyBorder="1" applyAlignment="1">
      <alignment horizontal="left" vertical="center" wrapText="1"/>
    </xf>
    <xf numFmtId="2" fontId="0" fillId="0" borderId="58" xfId="0" applyNumberFormat="1" applyFill="1" applyBorder="1" applyAlignment="1">
      <alignment horizontal="center" vertical="center"/>
    </xf>
    <xf numFmtId="3" fontId="16" fillId="0" borderId="58" xfId="0" applyNumberFormat="1" applyFont="1" applyFill="1" applyBorder="1" applyAlignment="1" applyProtection="1">
      <alignment horizontal="justify" vertical="justify" wrapText="1"/>
      <protection locked="0"/>
    </xf>
    <xf numFmtId="49" fontId="0" fillId="0" borderId="60" xfId="0" applyNumberFormat="1" applyFont="1" applyFill="1" applyBorder="1" applyAlignment="1" applyProtection="1">
      <alignment horizontal="center" vertical="center"/>
      <protection locked="0"/>
    </xf>
    <xf numFmtId="3" fontId="0" fillId="0" borderId="58" xfId="0" applyNumberFormat="1" applyFill="1" applyBorder="1" applyAlignment="1" applyProtection="1">
      <alignment horizontal="justify" vertical="justify"/>
      <protection locked="0"/>
    </xf>
    <xf numFmtId="37" fontId="22" fillId="0" borderId="58" xfId="2" applyNumberFormat="1" applyFont="1" applyFill="1" applyBorder="1" applyAlignment="1">
      <alignment horizontal="center" vertical="center"/>
    </xf>
    <xf numFmtId="2" fontId="0" fillId="0" borderId="58" xfId="0" applyNumberFormat="1" applyFill="1" applyBorder="1" applyAlignment="1" applyProtection="1">
      <alignment horizontal="left" vertical="center" wrapText="1"/>
      <protection locked="0"/>
    </xf>
    <xf numFmtId="3" fontId="22" fillId="0" borderId="58" xfId="0" applyNumberFormat="1" applyFont="1" applyFill="1" applyBorder="1" applyAlignment="1" applyProtection="1">
      <alignment horizontal="center" vertical="center" wrapText="1"/>
      <protection locked="0"/>
    </xf>
    <xf numFmtId="3" fontId="0" fillId="0" borderId="59" xfId="0" applyNumberFormat="1" applyFont="1" applyFill="1" applyBorder="1" applyAlignment="1" applyProtection="1">
      <alignment horizontal="left" vertical="center" wrapText="1"/>
      <protection locked="0"/>
    </xf>
    <xf numFmtId="2" fontId="0" fillId="0" borderId="58" xfId="0" applyNumberFormat="1" applyFill="1" applyBorder="1" applyAlignment="1" applyProtection="1">
      <alignment horizontal="justify" vertical="justify" wrapText="1"/>
      <protection locked="0"/>
    </xf>
    <xf numFmtId="2" fontId="34" fillId="0" borderId="58" xfId="2" applyNumberFormat="1" applyFont="1" applyFill="1" applyBorder="1" applyAlignment="1">
      <alignment horizontal="center" vertical="center"/>
    </xf>
    <xf numFmtId="0" fontId="0" fillId="0" borderId="58" xfId="0" applyFont="1" applyBorder="1" applyAlignment="1">
      <alignment horizontal="center"/>
    </xf>
    <xf numFmtId="0" fontId="0" fillId="0" borderId="60" xfId="0" applyFont="1" applyBorder="1" applyAlignment="1">
      <alignment horizontal="center"/>
    </xf>
    <xf numFmtId="0" fontId="0" fillId="0" borderId="58" xfId="0" applyNumberFormat="1" applyFont="1" applyBorder="1" applyAlignment="1">
      <alignment horizontal="center"/>
    </xf>
    <xf numFmtId="3" fontId="30" fillId="0" borderId="58" xfId="0" applyNumberFormat="1" applyFont="1" applyFill="1" applyBorder="1" applyAlignment="1">
      <alignment horizontal="center" vertical="center"/>
    </xf>
    <xf numFmtId="1" fontId="22" fillId="0" borderId="58" xfId="0" applyNumberFormat="1" applyFont="1" applyFill="1" applyBorder="1" applyAlignment="1">
      <alignment horizontal="center" vertical="center"/>
    </xf>
    <xf numFmtId="3" fontId="22" fillId="0" borderId="58" xfId="2" applyNumberFormat="1" applyFont="1" applyFill="1" applyBorder="1" applyAlignment="1">
      <alignment horizontal="center" vertical="center"/>
    </xf>
    <xf numFmtId="3" fontId="22" fillId="0" borderId="59" xfId="0" applyNumberFormat="1" applyFont="1" applyFill="1" applyBorder="1" applyAlignment="1">
      <alignment horizontal="center" vertical="center"/>
    </xf>
    <xf numFmtId="3" fontId="0" fillId="0" borderId="59" xfId="0" applyNumberFormat="1" applyFill="1" applyBorder="1" applyAlignment="1" applyProtection="1">
      <alignment horizontal="left" vertical="center" wrapText="1"/>
      <protection locked="0"/>
    </xf>
    <xf numFmtId="3" fontId="24" fillId="0" borderId="58" xfId="0" applyNumberFormat="1" applyFont="1" applyFill="1" applyBorder="1" applyAlignment="1">
      <alignment horizontal="center" vertical="center"/>
    </xf>
    <xf numFmtId="3" fontId="0" fillId="0" borderId="59" xfId="0" applyNumberFormat="1" applyFill="1" applyBorder="1" applyAlignment="1">
      <alignment horizontal="center" vertical="center"/>
    </xf>
    <xf numFmtId="3" fontId="0" fillId="0" borderId="58" xfId="0" applyNumberFormat="1" applyFont="1" applyFill="1" applyBorder="1" applyAlignment="1">
      <alignment horizontal="center"/>
    </xf>
    <xf numFmtId="49" fontId="16" fillId="0" borderId="58" xfId="0" applyNumberFormat="1" applyFont="1" applyFill="1" applyBorder="1" applyAlignment="1" applyProtection="1">
      <alignment horizontal="center" vertical="center"/>
      <protection locked="0"/>
    </xf>
    <xf numFmtId="3" fontId="0" fillId="0" borderId="60" xfId="0" applyNumberFormat="1" applyFont="1" applyFill="1" applyBorder="1" applyAlignment="1" applyProtection="1">
      <alignment horizontal="left" vertical="center" wrapText="1"/>
      <protection locked="0"/>
    </xf>
    <xf numFmtId="167" fontId="30" fillId="0" borderId="60" xfId="2" applyNumberFormat="1" applyFont="1" applyFill="1" applyBorder="1" applyAlignment="1">
      <alignment horizontal="center" vertical="center"/>
    </xf>
    <xf numFmtId="0" fontId="0" fillId="0" borderId="60" xfId="0" applyFont="1" applyFill="1" applyBorder="1" applyAlignment="1">
      <alignment horizontal="center"/>
    </xf>
    <xf numFmtId="37" fontId="16" fillId="0" borderId="59" xfId="2" applyNumberFormat="1" applyFont="1" applyFill="1" applyBorder="1" applyAlignment="1">
      <alignment horizontal="center" vertical="center"/>
    </xf>
    <xf numFmtId="49" fontId="26" fillId="0" borderId="60" xfId="0" applyNumberFormat="1" applyFont="1" applyFill="1" applyBorder="1" applyAlignment="1" applyProtection="1">
      <alignment horizontal="center" vertical="center"/>
      <protection locked="0"/>
    </xf>
    <xf numFmtId="3" fontId="0" fillId="0" borderId="59" xfId="0" applyNumberFormat="1" applyFill="1" applyBorder="1" applyAlignment="1" applyProtection="1">
      <alignment horizontal="center" vertical="center" wrapText="1"/>
      <protection locked="0"/>
    </xf>
    <xf numFmtId="3" fontId="0" fillId="0" borderId="59" xfId="0" applyNumberFormat="1" applyFill="1" applyBorder="1" applyAlignment="1" applyProtection="1">
      <alignment horizontal="justify" vertical="justify" wrapText="1"/>
      <protection locked="0"/>
    </xf>
    <xf numFmtId="1" fontId="34" fillId="0" borderId="59" xfId="2" applyNumberFormat="1" applyFont="1" applyFill="1" applyBorder="1" applyAlignment="1">
      <alignment horizontal="center" vertical="center"/>
    </xf>
    <xf numFmtId="0" fontId="0" fillId="0" borderId="59" xfId="0" applyFont="1" applyBorder="1" applyAlignment="1">
      <alignment horizontal="center"/>
    </xf>
    <xf numFmtId="3" fontId="31" fillId="0" borderId="60" xfId="0" applyNumberFormat="1" applyFont="1" applyFill="1" applyBorder="1" applyAlignment="1">
      <alignment horizontal="center" vertical="center"/>
    </xf>
    <xf numFmtId="3" fontId="31" fillId="0" borderId="59" xfId="0" applyNumberFormat="1" applyFont="1" applyFill="1" applyBorder="1" applyAlignment="1">
      <alignment horizontal="center" vertical="center"/>
    </xf>
    <xf numFmtId="0" fontId="1" fillId="0" borderId="60" xfId="0" applyFont="1" applyFill="1" applyBorder="1" applyAlignment="1">
      <alignment horizontal="center" vertical="center"/>
    </xf>
    <xf numFmtId="3" fontId="16" fillId="0" borderId="59" xfId="2" applyNumberFormat="1" applyFont="1" applyFill="1" applyBorder="1" applyAlignment="1">
      <alignment horizontal="center" vertical="center"/>
    </xf>
    <xf numFmtId="3" fontId="34" fillId="0" borderId="59" xfId="2" applyNumberFormat="1" applyFont="1" applyFill="1" applyBorder="1" applyAlignment="1">
      <alignment horizontal="center" vertical="center"/>
    </xf>
    <xf numFmtId="0" fontId="0" fillId="0" borderId="59" xfId="0" applyFill="1" applyBorder="1" applyAlignment="1">
      <alignment horizontal="center" vertical="center"/>
    </xf>
    <xf numFmtId="1" fontId="22" fillId="0" borderId="59" xfId="0" applyNumberFormat="1" applyFont="1" applyFill="1" applyBorder="1" applyAlignment="1">
      <alignment horizontal="center" vertical="center"/>
    </xf>
    <xf numFmtId="37" fontId="34" fillId="0" borderId="59" xfId="2" applyNumberFormat="1" applyFont="1" applyFill="1" applyBorder="1" applyAlignment="1">
      <alignment horizontal="center" vertical="center"/>
    </xf>
    <xf numFmtId="0" fontId="22" fillId="0" borderId="59" xfId="0" applyFont="1" applyFill="1" applyBorder="1" applyAlignment="1">
      <alignment horizontal="center" vertical="center"/>
    </xf>
    <xf numFmtId="3" fontId="26" fillId="0" borderId="60" xfId="0" applyNumberFormat="1" applyFont="1" applyFill="1" applyBorder="1" applyAlignment="1" applyProtection="1">
      <alignment horizontal="center" vertical="center"/>
      <protection locked="0"/>
    </xf>
    <xf numFmtId="0" fontId="0" fillId="0" borderId="59" xfId="0" applyFont="1" applyFill="1" applyBorder="1" applyAlignment="1">
      <alignment horizontal="center" vertical="center"/>
    </xf>
    <xf numFmtId="164" fontId="0" fillId="0" borderId="58" xfId="2" applyFont="1" applyFill="1" applyBorder="1" applyAlignment="1">
      <alignment horizontal="center" vertical="center"/>
    </xf>
    <xf numFmtId="0" fontId="0" fillId="0" borderId="58" xfId="1" applyFont="1" applyFill="1" applyBorder="1" applyAlignment="1" applyProtection="1">
      <alignment horizontal="left" vertical="center" wrapText="1"/>
      <protection locked="0"/>
    </xf>
    <xf numFmtId="2" fontId="0" fillId="0" borderId="58" xfId="1" applyNumberFormat="1" applyFont="1" applyFill="1" applyBorder="1" applyAlignment="1" applyProtection="1">
      <alignment horizontal="left" vertical="center" wrapText="1"/>
      <protection locked="0"/>
    </xf>
    <xf numFmtId="0" fontId="0" fillId="0" borderId="58" xfId="0" applyFill="1" applyBorder="1" applyAlignment="1">
      <alignment horizontal="center" vertical="center" wrapText="1"/>
    </xf>
    <xf numFmtId="2" fontId="0" fillId="0" borderId="58" xfId="0" applyNumberFormat="1" applyFont="1" applyFill="1" applyBorder="1" applyAlignment="1">
      <alignment horizontal="center" vertical="center" wrapText="1"/>
    </xf>
    <xf numFmtId="2" fontId="0" fillId="0" borderId="58" xfId="2" applyNumberFormat="1" applyFont="1" applyFill="1" applyBorder="1" applyAlignment="1">
      <alignment horizontal="left" vertical="justify" wrapText="1"/>
    </xf>
    <xf numFmtId="3" fontId="30" fillId="9" borderId="58" xfId="0" applyNumberFormat="1" applyFont="1" applyFill="1" applyBorder="1" applyAlignment="1" applyProtection="1">
      <alignment horizontal="center" vertical="center" wrapText="1"/>
      <protection locked="0"/>
    </xf>
    <xf numFmtId="0" fontId="29" fillId="9" borderId="58" xfId="0" applyFont="1" applyFill="1" applyBorder="1" applyAlignment="1" applyProtection="1">
      <alignment horizontal="center" vertical="center" wrapText="1"/>
      <protection locked="0"/>
    </xf>
    <xf numFmtId="3" fontId="16" fillId="9" borderId="58" xfId="0" applyNumberFormat="1" applyFont="1" applyFill="1" applyBorder="1" applyAlignment="1" applyProtection="1">
      <alignment horizontal="center" vertical="center" wrapText="1"/>
      <protection locked="0"/>
    </xf>
    <xf numFmtId="49" fontId="16" fillId="0" borderId="75" xfId="0" applyNumberFormat="1" applyFont="1" applyBorder="1" applyAlignment="1" applyProtection="1">
      <alignment horizontal="center" vertical="center"/>
      <protection locked="0"/>
    </xf>
    <xf numFmtId="3" fontId="16" fillId="0" borderId="76" xfId="0" applyNumberFormat="1" applyFont="1" applyFill="1" applyBorder="1" applyAlignment="1" applyProtection="1">
      <alignment horizontal="center" vertical="center" wrapText="1"/>
      <protection locked="0"/>
    </xf>
    <xf numFmtId="49" fontId="16" fillId="0" borderId="66" xfId="0" applyNumberFormat="1" applyFont="1" applyBorder="1" applyAlignment="1" applyProtection="1">
      <alignment horizontal="center" vertical="center"/>
      <protection locked="0"/>
    </xf>
    <xf numFmtId="0" fontId="29" fillId="9" borderId="62" xfId="0" applyFont="1" applyFill="1" applyBorder="1" applyAlignment="1" applyProtection="1">
      <alignment horizontal="center" vertical="center" wrapText="1"/>
      <protection locked="0"/>
    </xf>
    <xf numFmtId="3" fontId="30" fillId="9" borderId="62" xfId="0" applyNumberFormat="1" applyFont="1" applyFill="1" applyBorder="1" applyAlignment="1" applyProtection="1">
      <alignment horizontal="center" vertical="center" wrapText="1"/>
      <protection locked="0"/>
    </xf>
    <xf numFmtId="3" fontId="16" fillId="9" borderId="62" xfId="0" applyNumberFormat="1" applyFont="1" applyFill="1" applyBorder="1" applyAlignment="1" applyProtection="1">
      <alignment horizontal="center" vertical="center" wrapText="1"/>
      <protection locked="0"/>
    </xf>
    <xf numFmtId="3" fontId="16" fillId="0" borderId="62" xfId="0" applyNumberFormat="1" applyFont="1" applyFill="1" applyBorder="1" applyAlignment="1" applyProtection="1">
      <alignment horizontal="center" vertical="center" wrapText="1"/>
      <protection locked="0"/>
    </xf>
    <xf numFmtId="3" fontId="16" fillId="0" borderId="64" xfId="0" applyNumberFormat="1" applyFont="1" applyFill="1" applyBorder="1" applyAlignment="1" applyProtection="1">
      <alignment horizontal="center" vertical="center" wrapText="1"/>
      <protection locked="0"/>
    </xf>
    <xf numFmtId="49" fontId="16" fillId="0" borderId="77" xfId="0" applyNumberFormat="1" applyFont="1" applyBorder="1" applyAlignment="1" applyProtection="1">
      <alignment horizontal="center" vertical="center"/>
      <protection locked="0"/>
    </xf>
    <xf numFmtId="0" fontId="29" fillId="9" borderId="60" xfId="0" applyFont="1" applyFill="1" applyBorder="1" applyAlignment="1" applyProtection="1">
      <alignment horizontal="center" vertical="center" wrapText="1"/>
      <protection locked="0"/>
    </xf>
    <xf numFmtId="3" fontId="30" fillId="9" borderId="60" xfId="0" applyNumberFormat="1" applyFont="1" applyFill="1" applyBorder="1" applyAlignment="1" applyProtection="1">
      <alignment horizontal="center" vertical="center" wrapText="1"/>
      <protection locked="0"/>
    </xf>
    <xf numFmtId="3" fontId="16" fillId="9" borderId="60" xfId="0" applyNumberFormat="1" applyFont="1" applyFill="1" applyBorder="1" applyAlignment="1" applyProtection="1">
      <alignment horizontal="center" vertical="center" wrapText="1"/>
      <protection locked="0"/>
    </xf>
    <xf numFmtId="3" fontId="16" fillId="0" borderId="78" xfId="0" applyNumberFormat="1" applyFont="1" applyFill="1" applyBorder="1" applyAlignment="1" applyProtection="1">
      <alignment horizontal="center" vertical="center" wrapText="1"/>
      <protection locked="0"/>
    </xf>
    <xf numFmtId="49" fontId="16" fillId="0" borderId="77" xfId="0" applyNumberFormat="1" applyFont="1" applyFill="1" applyBorder="1" applyAlignment="1" applyProtection="1">
      <alignment horizontal="center" vertical="center"/>
      <protection locked="0"/>
    </xf>
    <xf numFmtId="3" fontId="30" fillId="0" borderId="62" xfId="0" applyNumberFormat="1" applyFont="1" applyFill="1" applyBorder="1" applyAlignment="1" applyProtection="1">
      <alignment horizontal="center" vertical="center" wrapText="1"/>
      <protection locked="0"/>
    </xf>
    <xf numFmtId="0" fontId="0" fillId="0" borderId="3" xfId="0" applyBorder="1" applyAlignment="1">
      <alignment horizontal="center" vertical="center"/>
    </xf>
    <xf numFmtId="0" fontId="0" fillId="0" borderId="21" xfId="0" applyBorder="1" applyAlignment="1">
      <alignment horizontal="center" vertical="center"/>
    </xf>
    <xf numFmtId="0" fontId="0" fillId="0" borderId="12" xfId="0" applyBorder="1" applyAlignment="1">
      <alignment horizontal="center" vertical="center"/>
    </xf>
    <xf numFmtId="0" fontId="0" fillId="0" borderId="1" xfId="0" applyBorder="1" applyAlignment="1">
      <alignment horizontal="center" vertical="center"/>
    </xf>
    <xf numFmtId="0" fontId="0" fillId="0" borderId="14" xfId="0" applyBorder="1" applyAlignment="1">
      <alignment horizontal="center" vertical="center"/>
    </xf>
    <xf numFmtId="0" fontId="1" fillId="0" borderId="6" xfId="0" applyFont="1" applyBorder="1" applyAlignment="1">
      <alignment horizontal="center" vertical="center"/>
    </xf>
    <xf numFmtId="0" fontId="0" fillId="0" borderId="1" xfId="0" applyBorder="1" applyAlignment="1">
      <alignment horizontal="center"/>
    </xf>
    <xf numFmtId="2" fontId="26" fillId="0" borderId="58" xfId="0" applyNumberFormat="1" applyFont="1" applyFill="1" applyBorder="1" applyAlignment="1" applyProtection="1">
      <alignment horizontal="center" vertical="center" wrapText="1"/>
      <protection locked="0"/>
    </xf>
    <xf numFmtId="0" fontId="0" fillId="0" borderId="58" xfId="0" applyFont="1" applyFill="1" applyBorder="1" applyAlignment="1">
      <alignment horizontal="center" vertical="center" wrapText="1"/>
    </xf>
    <xf numFmtId="0" fontId="1" fillId="0" borderId="12" xfId="0" applyFont="1" applyBorder="1" applyAlignment="1">
      <alignment horizontal="center" vertical="center"/>
    </xf>
    <xf numFmtId="0" fontId="0" fillId="10" borderId="1" xfId="0" applyFill="1" applyBorder="1" applyAlignment="1">
      <alignment horizontal="center" vertical="center"/>
    </xf>
    <xf numFmtId="3" fontId="30" fillId="12" borderId="63" xfId="0" applyNumberFormat="1" applyFont="1" applyFill="1" applyBorder="1" applyAlignment="1" applyProtection="1">
      <alignment horizontal="center" wrapText="1"/>
      <protection locked="0"/>
    </xf>
    <xf numFmtId="49" fontId="7" fillId="0" borderId="35" xfId="0" applyNumberFormat="1" applyFont="1" applyBorder="1" applyAlignment="1" applyProtection="1">
      <alignment horizontal="center" vertical="center"/>
      <protection locked="0"/>
    </xf>
    <xf numFmtId="0" fontId="13" fillId="0" borderId="2" xfId="0" applyFont="1" applyBorder="1" applyAlignment="1" applyProtection="1">
      <alignment horizontal="center" vertical="center" wrapText="1"/>
      <protection locked="0"/>
    </xf>
    <xf numFmtId="3" fontId="9" fillId="0" borderId="2" xfId="0" applyNumberFormat="1" applyFont="1" applyFill="1" applyBorder="1" applyAlignment="1" applyProtection="1">
      <alignment horizontal="center" vertical="center" wrapText="1"/>
      <protection locked="0"/>
    </xf>
    <xf numFmtId="3" fontId="0" fillId="0" borderId="2" xfId="0" applyNumberFormat="1" applyBorder="1" applyAlignment="1">
      <alignment horizontal="center" vertical="center"/>
    </xf>
    <xf numFmtId="3" fontId="0" fillId="0" borderId="2" xfId="0" applyNumberFormat="1" applyFill="1" applyBorder="1" applyAlignment="1">
      <alignment horizontal="center" vertical="center"/>
    </xf>
    <xf numFmtId="3" fontId="37" fillId="0" borderId="1" xfId="0" applyNumberFormat="1" applyFont="1" applyFill="1" applyBorder="1" applyAlignment="1" applyProtection="1">
      <alignment vertical="center" wrapText="1"/>
      <protection locked="0"/>
    </xf>
    <xf numFmtId="49" fontId="16" fillId="0" borderId="82" xfId="0" applyNumberFormat="1" applyFont="1" applyBorder="1" applyAlignment="1" applyProtection="1">
      <alignment horizontal="center" vertical="center"/>
      <protection locked="0"/>
    </xf>
    <xf numFmtId="0" fontId="29" fillId="9" borderId="59" xfId="0" applyFont="1" applyFill="1" applyBorder="1" applyAlignment="1" applyProtection="1">
      <alignment horizontal="center" vertical="center" wrapText="1"/>
      <protection locked="0"/>
    </xf>
    <xf numFmtId="3" fontId="30" fillId="9" borderId="59" xfId="0" applyNumberFormat="1" applyFont="1" applyFill="1" applyBorder="1" applyAlignment="1" applyProtection="1">
      <alignment horizontal="center" vertical="center" wrapText="1"/>
      <protection locked="0"/>
    </xf>
    <xf numFmtId="3" fontId="16" fillId="9" borderId="59" xfId="0" applyNumberFormat="1" applyFont="1" applyFill="1" applyBorder="1" applyAlignment="1" applyProtection="1">
      <alignment horizontal="center" vertical="center" wrapText="1"/>
      <protection locked="0"/>
    </xf>
    <xf numFmtId="3" fontId="16" fillId="0" borderId="79" xfId="0" applyNumberFormat="1" applyFont="1" applyFill="1" applyBorder="1" applyAlignment="1" applyProtection="1">
      <alignment horizontal="center" vertical="center" wrapText="1"/>
      <protection locked="0"/>
    </xf>
    <xf numFmtId="3" fontId="30" fillId="12" borderId="83" xfId="0" applyNumberFormat="1" applyFont="1" applyFill="1" applyBorder="1" applyAlignment="1" applyProtection="1">
      <alignment horizontal="center" vertical="center"/>
      <protection locked="0"/>
    </xf>
    <xf numFmtId="4" fontId="30" fillId="12" borderId="84" xfId="0" applyNumberFormat="1" applyFont="1" applyFill="1" applyBorder="1" applyAlignment="1" applyProtection="1">
      <alignment horizontal="center" vertical="center" wrapText="1"/>
      <protection locked="0"/>
    </xf>
    <xf numFmtId="3" fontId="30" fillId="12" borderId="84" xfId="0" applyNumberFormat="1" applyFont="1" applyFill="1" applyBorder="1" applyAlignment="1" applyProtection="1">
      <alignment horizontal="center" vertical="center" wrapText="1"/>
      <protection locked="0"/>
    </xf>
    <xf numFmtId="3" fontId="30" fillId="12" borderId="85" xfId="0" applyNumberFormat="1" applyFont="1" applyFill="1" applyBorder="1" applyAlignment="1" applyProtection="1">
      <alignment horizontal="center" vertical="center" wrapText="1"/>
      <protection locked="0"/>
    </xf>
    <xf numFmtId="3" fontId="30" fillId="12" borderId="85" xfId="0" applyNumberFormat="1" applyFont="1" applyFill="1" applyBorder="1" applyAlignment="1" applyProtection="1">
      <alignment horizontal="center" wrapText="1"/>
      <protection locked="0"/>
    </xf>
    <xf numFmtId="49" fontId="16" fillId="0" borderId="82" xfId="0" applyNumberFormat="1" applyFont="1" applyFill="1" applyBorder="1" applyAlignment="1" applyProtection="1">
      <alignment horizontal="center" vertical="center"/>
      <protection locked="0"/>
    </xf>
    <xf numFmtId="3" fontId="30" fillId="12" borderId="85" xfId="1" applyNumberFormat="1" applyFont="1" applyFill="1" applyBorder="1" applyAlignment="1" applyProtection="1">
      <alignment horizontal="center"/>
      <protection locked="0"/>
    </xf>
    <xf numFmtId="3" fontId="30" fillId="0" borderId="59" xfId="0" applyNumberFormat="1" applyFont="1" applyFill="1" applyBorder="1" applyAlignment="1" applyProtection="1">
      <alignment horizontal="center" vertical="center" wrapText="1"/>
      <protection locked="0"/>
    </xf>
    <xf numFmtId="3" fontId="30" fillId="11" borderId="85" xfId="0" applyNumberFormat="1" applyFont="1" applyFill="1" applyBorder="1" applyAlignment="1" applyProtection="1">
      <alignment horizontal="center" vertical="center" wrapText="1"/>
      <protection locked="0"/>
    </xf>
    <xf numFmtId="0" fontId="0" fillId="0" borderId="60" xfId="0" applyBorder="1"/>
    <xf numFmtId="0" fontId="28" fillId="9" borderId="60" xfId="1" applyFont="1" applyFill="1" applyBorder="1" applyAlignment="1" applyProtection="1">
      <alignment horizontal="center" wrapText="1"/>
      <protection locked="0"/>
    </xf>
    <xf numFmtId="0" fontId="27" fillId="0" borderId="60" xfId="1" applyFont="1" applyBorder="1" applyProtection="1">
      <protection locked="0"/>
    </xf>
    <xf numFmtId="0" fontId="27" fillId="0" borderId="60" xfId="1" applyFont="1" applyBorder="1" applyAlignment="1" applyProtection="1">
      <protection locked="0"/>
    </xf>
    <xf numFmtId="0" fontId="36" fillId="11" borderId="16" xfId="0" applyFont="1" applyFill="1" applyBorder="1" applyAlignment="1" applyProtection="1">
      <alignment horizontal="center" vertical="center" wrapText="1"/>
      <protection locked="0"/>
    </xf>
    <xf numFmtId="0" fontId="0" fillId="0" borderId="0" xfId="0" applyFill="1"/>
    <xf numFmtId="0" fontId="0" fillId="10" borderId="21" xfId="0" applyFill="1" applyBorder="1" applyAlignment="1">
      <alignment horizontal="center" vertical="center"/>
    </xf>
    <xf numFmtId="0" fontId="0" fillId="9" borderId="19" xfId="0" applyFill="1" applyBorder="1" applyAlignment="1">
      <alignment horizontal="center" vertical="center"/>
    </xf>
    <xf numFmtId="0" fontId="0" fillId="0" borderId="19" xfId="0" applyFill="1" applyBorder="1" applyAlignment="1">
      <alignment horizontal="center"/>
    </xf>
    <xf numFmtId="0" fontId="0" fillId="0" borderId="0" xfId="0" applyFill="1" applyBorder="1" applyAlignment="1">
      <alignment horizontal="center"/>
    </xf>
    <xf numFmtId="0" fontId="0" fillId="0" borderId="0" xfId="0" applyFill="1" applyBorder="1" applyAlignment="1"/>
    <xf numFmtId="0" fontId="0" fillId="0" borderId="88" xfId="0" applyFill="1" applyBorder="1" applyAlignment="1">
      <alignment horizontal="center" vertical="center"/>
    </xf>
    <xf numFmtId="0" fontId="0" fillId="0" borderId="89" xfId="0" applyFill="1" applyBorder="1" applyAlignment="1">
      <alignment horizontal="center"/>
    </xf>
    <xf numFmtId="0" fontId="0" fillId="0" borderId="21" xfId="0" applyBorder="1" applyAlignment="1">
      <alignment horizontal="center" wrapText="1"/>
    </xf>
    <xf numFmtId="0" fontId="0" fillId="0" borderId="19" xfId="0" applyBorder="1" applyAlignment="1">
      <alignment horizontal="center" wrapText="1"/>
    </xf>
    <xf numFmtId="0" fontId="0" fillId="0" borderId="21" xfId="0" applyBorder="1" applyAlignment="1">
      <alignment horizontal="center" vertical="center" wrapText="1"/>
    </xf>
    <xf numFmtId="0" fontId="0" fillId="0" borderId="19" xfId="0" applyBorder="1" applyAlignment="1">
      <alignment horizontal="center" vertical="center" wrapText="1"/>
    </xf>
    <xf numFmtId="0" fontId="0" fillId="0" borderId="0" xfId="0" applyBorder="1" applyAlignment="1">
      <alignment horizontal="left" vertical="center" wrapText="1"/>
    </xf>
    <xf numFmtId="0" fontId="0" fillId="10" borderId="12" xfId="0" applyFill="1" applyBorder="1" applyAlignment="1">
      <alignment horizontal="center" vertical="center"/>
    </xf>
    <xf numFmtId="0" fontId="0" fillId="10" borderId="14" xfId="0" applyFill="1" applyBorder="1" applyAlignment="1">
      <alignment horizontal="center" vertical="center"/>
    </xf>
    <xf numFmtId="0" fontId="0" fillId="9" borderId="16" xfId="0" applyFill="1" applyBorder="1" applyAlignment="1">
      <alignment horizontal="center" vertical="center"/>
    </xf>
    <xf numFmtId="0" fontId="0" fillId="0" borderId="12" xfId="0" applyBorder="1" applyAlignment="1">
      <alignment horizontal="center" vertical="center" wrapText="1"/>
    </xf>
    <xf numFmtId="0" fontId="0" fillId="0" borderId="16" xfId="0" applyBorder="1" applyAlignment="1">
      <alignment horizontal="center" vertical="center" wrapText="1"/>
    </xf>
    <xf numFmtId="0" fontId="0" fillId="0" borderId="11" xfId="0" applyBorder="1" applyAlignment="1">
      <alignment horizontal="center" vertical="center"/>
    </xf>
    <xf numFmtId="0" fontId="1" fillId="0" borderId="87" xfId="0" applyFont="1" applyFill="1" applyBorder="1" applyAlignment="1">
      <alignment horizontal="center" wrapText="1"/>
    </xf>
    <xf numFmtId="0" fontId="1" fillId="0" borderId="6" xfId="0" applyFont="1" applyBorder="1"/>
    <xf numFmtId="0" fontId="1" fillId="0" borderId="12" xfId="0" applyFont="1" applyBorder="1"/>
    <xf numFmtId="0" fontId="0" fillId="0" borderId="16" xfId="0" applyBorder="1" applyAlignment="1">
      <alignment horizontal="center" vertical="center"/>
    </xf>
    <xf numFmtId="0" fontId="1" fillId="0" borderId="3" xfId="0" applyFont="1" applyBorder="1" applyAlignment="1">
      <alignment horizontal="center" vertical="center" wrapText="1"/>
    </xf>
    <xf numFmtId="0" fontId="1" fillId="0" borderId="45" xfId="0" applyFont="1" applyFill="1" applyBorder="1" applyAlignment="1">
      <alignment horizontal="center" vertical="center" wrapText="1"/>
    </xf>
    <xf numFmtId="1" fontId="0" fillId="0" borderId="21" xfId="0" applyNumberFormat="1" applyBorder="1" applyAlignment="1">
      <alignment horizontal="center" wrapText="1"/>
    </xf>
    <xf numFmtId="1" fontId="0" fillId="0" borderId="12" xfId="0" applyNumberFormat="1" applyFill="1" applyBorder="1" applyAlignment="1">
      <alignment horizontal="center" wrapText="1"/>
    </xf>
    <xf numFmtId="1" fontId="0" fillId="0" borderId="14" xfId="0" applyNumberFormat="1" applyFill="1" applyBorder="1" applyAlignment="1">
      <alignment horizontal="center" wrapText="1"/>
    </xf>
    <xf numFmtId="0" fontId="0" fillId="0" borderId="16" xfId="0" applyFill="1" applyBorder="1" applyAlignment="1">
      <alignment horizontal="center" vertical="center"/>
    </xf>
    <xf numFmtId="0" fontId="1" fillId="0" borderId="37" xfId="0" applyFont="1" applyBorder="1"/>
    <xf numFmtId="1" fontId="0" fillId="0" borderId="39" xfId="0" applyNumberFormat="1" applyFill="1" applyBorder="1" applyAlignment="1">
      <alignment horizontal="center" wrapText="1"/>
    </xf>
    <xf numFmtId="1" fontId="0" fillId="0" borderId="21" xfId="0" applyNumberFormat="1" applyFill="1" applyBorder="1" applyAlignment="1">
      <alignment horizontal="center" wrapText="1"/>
    </xf>
    <xf numFmtId="0" fontId="22" fillId="0" borderId="1" xfId="0" applyFont="1" applyFill="1" applyBorder="1" applyAlignment="1">
      <alignment horizontal="center"/>
    </xf>
    <xf numFmtId="0" fontId="22" fillId="0" borderId="14" xfId="0" applyFont="1" applyFill="1" applyBorder="1" applyAlignment="1">
      <alignment horizontal="center"/>
    </xf>
    <xf numFmtId="0" fontId="0" fillId="0" borderId="0" xfId="0" applyBorder="1" applyAlignment="1">
      <alignment horizontal="center" vertical="center"/>
    </xf>
    <xf numFmtId="1" fontId="0" fillId="0" borderId="0" xfId="0" applyNumberFormat="1" applyBorder="1" applyAlignment="1">
      <alignment horizontal="center"/>
    </xf>
    <xf numFmtId="0" fontId="49" fillId="0" borderId="0" xfId="0" applyFont="1" applyFill="1" applyBorder="1" applyAlignment="1">
      <alignment horizontal="center" vertical="top" wrapText="1"/>
    </xf>
    <xf numFmtId="0" fontId="0" fillId="0" borderId="19" xfId="0" applyBorder="1" applyAlignment="1">
      <alignment horizontal="center" vertical="center"/>
    </xf>
    <xf numFmtId="1" fontId="32" fillId="0" borderId="1" xfId="0" applyNumberFormat="1" applyFont="1" applyBorder="1" applyAlignment="1">
      <alignment horizontal="center" vertical="center" wrapText="1"/>
    </xf>
    <xf numFmtId="1" fontId="32" fillId="0" borderId="14" xfId="0" applyNumberFormat="1" applyFont="1" applyFill="1" applyBorder="1" applyAlignment="1">
      <alignment horizontal="center" vertical="center" wrapText="1"/>
    </xf>
    <xf numFmtId="0" fontId="0" fillId="0" borderId="45" xfId="0" applyBorder="1" applyAlignment="1">
      <alignment horizontal="center" vertical="center"/>
    </xf>
    <xf numFmtId="0" fontId="9" fillId="0" borderId="0" xfId="0" applyFont="1" applyBorder="1" applyAlignment="1">
      <alignment horizontal="center" vertical="center" wrapText="1"/>
    </xf>
    <xf numFmtId="1" fontId="0" fillId="0" borderId="0" xfId="0" applyNumberFormat="1" applyBorder="1"/>
    <xf numFmtId="0" fontId="1" fillId="0" borderId="0" xfId="0" applyFont="1" applyBorder="1" applyAlignment="1">
      <alignment vertical="center"/>
    </xf>
    <xf numFmtId="0" fontId="9" fillId="0" borderId="6" xfId="0" applyFont="1" applyBorder="1" applyAlignment="1">
      <alignment horizontal="center" vertical="center" wrapText="1"/>
    </xf>
    <xf numFmtId="0" fontId="9" fillId="0" borderId="11" xfId="0" applyFont="1" applyBorder="1" applyAlignment="1">
      <alignment horizontal="center" vertical="center" wrapText="1"/>
    </xf>
    <xf numFmtId="0" fontId="0" fillId="0" borderId="52" xfId="0" applyBorder="1" applyAlignment="1">
      <alignment horizontal="center"/>
    </xf>
    <xf numFmtId="0" fontId="0" fillId="0" borderId="3" xfId="0" applyBorder="1" applyAlignment="1">
      <alignment horizontal="center"/>
    </xf>
    <xf numFmtId="0" fontId="22" fillId="0" borderId="3" xfId="0" applyFont="1" applyBorder="1" applyAlignment="1">
      <alignment horizontal="center"/>
    </xf>
    <xf numFmtId="0" fontId="0" fillId="0" borderId="45" xfId="0" applyBorder="1" applyAlignment="1">
      <alignment horizontal="center"/>
    </xf>
    <xf numFmtId="0" fontId="1" fillId="0" borderId="37" xfId="0" applyFont="1" applyFill="1" applyBorder="1" applyAlignment="1">
      <alignment horizontal="center" vertical="center" wrapText="1"/>
    </xf>
    <xf numFmtId="0" fontId="1" fillId="0" borderId="38" xfId="0" applyFont="1" applyFill="1" applyBorder="1" applyAlignment="1">
      <alignment horizontal="center" vertical="center" wrapText="1"/>
    </xf>
    <xf numFmtId="0" fontId="31" fillId="0" borderId="38" xfId="0" applyFont="1" applyFill="1" applyBorder="1" applyAlignment="1">
      <alignment horizontal="center" vertical="center" wrapText="1"/>
    </xf>
    <xf numFmtId="0" fontId="1" fillId="0" borderId="39" xfId="0" applyFont="1" applyBorder="1" applyAlignment="1">
      <alignment horizontal="center" vertical="center" wrapText="1"/>
    </xf>
    <xf numFmtId="0" fontId="1" fillId="0" borderId="52" xfId="0" applyFont="1" applyBorder="1" applyAlignment="1">
      <alignment horizontal="center" wrapText="1"/>
    </xf>
    <xf numFmtId="0" fontId="1" fillId="0" borderId="37"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39" xfId="0" applyFont="1" applyFill="1" applyBorder="1" applyAlignment="1">
      <alignment horizontal="center" vertical="center" wrapText="1"/>
    </xf>
    <xf numFmtId="0" fontId="0" fillId="0" borderId="52" xfId="0" applyBorder="1" applyAlignment="1">
      <alignment horizontal="center" vertical="center"/>
    </xf>
    <xf numFmtId="1" fontId="32" fillId="0" borderId="3" xfId="0" applyNumberFormat="1" applyFont="1" applyBorder="1" applyAlignment="1">
      <alignment horizontal="center" vertical="center" wrapText="1"/>
    </xf>
    <xf numFmtId="0" fontId="1" fillId="0" borderId="6"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9" fillId="0" borderId="16" xfId="0" applyFont="1" applyBorder="1" applyAlignment="1">
      <alignment horizontal="center" vertical="center"/>
    </xf>
    <xf numFmtId="1" fontId="0" fillId="0" borderId="52" xfId="0" applyNumberFormat="1" applyBorder="1" applyAlignment="1">
      <alignment horizontal="center" vertical="center"/>
    </xf>
    <xf numFmtId="1" fontId="0" fillId="0" borderId="21" xfId="0" applyNumberFormat="1" applyBorder="1" applyAlignment="1">
      <alignment horizontal="center" vertical="center"/>
    </xf>
    <xf numFmtId="1" fontId="0" fillId="0" borderId="12" xfId="0" applyNumberFormat="1" applyBorder="1" applyAlignment="1">
      <alignment horizontal="center" vertical="center"/>
    </xf>
    <xf numFmtId="0" fontId="31" fillId="13" borderId="61" xfId="0" applyFont="1" applyFill="1" applyBorder="1" applyAlignment="1" applyProtection="1">
      <alignment horizontal="center" vertical="center" wrapText="1"/>
      <protection locked="0"/>
    </xf>
    <xf numFmtId="0" fontId="31" fillId="13" borderId="62" xfId="0" applyFont="1" applyFill="1" applyBorder="1" applyAlignment="1" applyProtection="1">
      <alignment horizontal="center" vertical="center" wrapText="1"/>
      <protection locked="0"/>
    </xf>
    <xf numFmtId="167" fontId="33" fillId="0" borderId="58" xfId="2" applyNumberFormat="1" applyFont="1" applyFill="1" applyBorder="1" applyAlignment="1">
      <alignment horizontal="center" vertical="center"/>
    </xf>
    <xf numFmtId="3" fontId="44" fillId="0" borderId="58" xfId="0" applyNumberFormat="1" applyFont="1" applyFill="1" applyBorder="1" applyAlignment="1">
      <alignment horizontal="center" vertical="center"/>
    </xf>
    <xf numFmtId="3" fontId="33" fillId="0" borderId="58" xfId="0" applyNumberFormat="1" applyFont="1" applyFill="1" applyBorder="1" applyAlignment="1">
      <alignment horizontal="center" vertical="center"/>
    </xf>
    <xf numFmtId="3" fontId="45" fillId="0" borderId="58" xfId="0" applyNumberFormat="1" applyFont="1" applyFill="1" applyBorder="1" applyAlignment="1">
      <alignment horizontal="center" vertical="center"/>
    </xf>
    <xf numFmtId="3" fontId="1" fillId="0" borderId="60" xfId="0" applyNumberFormat="1" applyFont="1" applyFill="1" applyBorder="1" applyAlignment="1">
      <alignment horizontal="center" vertical="center"/>
    </xf>
    <xf numFmtId="0" fontId="26" fillId="0" borderId="70" xfId="1" applyFont="1" applyBorder="1" applyAlignment="1" applyProtection="1">
      <alignment horizontal="left" vertical="center" wrapText="1"/>
      <protection locked="0"/>
    </xf>
    <xf numFmtId="0" fontId="47" fillId="13" borderId="25" xfId="0" applyFont="1" applyFill="1" applyBorder="1" applyAlignment="1">
      <alignment horizontal="center" vertical="center"/>
    </xf>
    <xf numFmtId="0" fontId="0" fillId="0" borderId="0" xfId="0" applyFont="1" applyFill="1" applyBorder="1" applyAlignment="1">
      <alignment horizontal="center"/>
    </xf>
    <xf numFmtId="0" fontId="34" fillId="0" borderId="58" xfId="0" applyFont="1" applyFill="1" applyBorder="1" applyAlignment="1">
      <alignment horizontal="center" vertical="center"/>
    </xf>
    <xf numFmtId="3" fontId="0" fillId="0" borderId="62" xfId="0" applyNumberFormat="1" applyFont="1" applyFill="1" applyBorder="1" applyAlignment="1">
      <alignment horizontal="center"/>
    </xf>
    <xf numFmtId="3" fontId="0" fillId="0" borderId="62" xfId="0" applyNumberFormat="1" applyFont="1" applyFill="1" applyBorder="1" applyAlignment="1">
      <alignment horizontal="center" vertical="center"/>
    </xf>
    <xf numFmtId="3" fontId="1" fillId="0" borderId="62" xfId="0" applyNumberFormat="1" applyFont="1" applyFill="1" applyBorder="1" applyAlignment="1">
      <alignment horizontal="center" vertical="center"/>
    </xf>
    <xf numFmtId="3" fontId="31" fillId="0" borderId="62" xfId="0" applyNumberFormat="1" applyFont="1" applyFill="1" applyBorder="1" applyAlignment="1">
      <alignment horizontal="center" vertical="center"/>
    </xf>
    <xf numFmtId="0" fontId="0" fillId="0" borderId="76" xfId="0" applyFont="1" applyFill="1" applyBorder="1" applyAlignment="1">
      <alignment horizontal="center"/>
    </xf>
    <xf numFmtId="0" fontId="26" fillId="0" borderId="70" xfId="1" applyFont="1" applyFill="1" applyBorder="1" applyAlignment="1" applyProtection="1">
      <alignment horizontal="left" vertical="center" wrapText="1"/>
      <protection locked="0"/>
    </xf>
    <xf numFmtId="0" fontId="0" fillId="0" borderId="70" xfId="0" applyFont="1" applyBorder="1" applyAlignment="1">
      <alignment horizontal="center"/>
    </xf>
    <xf numFmtId="0" fontId="0" fillId="0" borderId="76" xfId="0" applyFont="1" applyBorder="1" applyAlignment="1">
      <alignment horizontal="center"/>
    </xf>
    <xf numFmtId="3" fontId="0" fillId="0" borderId="0" xfId="0" applyNumberFormat="1" applyFont="1" applyFill="1" applyBorder="1" applyAlignment="1">
      <alignment horizontal="center"/>
    </xf>
    <xf numFmtId="3" fontId="1" fillId="0" borderId="58" xfId="0" applyNumberFormat="1" applyFont="1" applyFill="1" applyBorder="1" applyAlignment="1">
      <alignment horizontal="center"/>
    </xf>
    <xf numFmtId="3" fontId="16" fillId="0" borderId="62" xfId="0" applyNumberFormat="1" applyFont="1" applyFill="1" applyBorder="1" applyAlignment="1">
      <alignment horizontal="center" vertical="center"/>
    </xf>
    <xf numFmtId="3" fontId="30" fillId="0" borderId="62" xfId="0" applyNumberFormat="1" applyFont="1" applyFill="1" applyBorder="1" applyAlignment="1">
      <alignment horizontal="center" vertical="center"/>
    </xf>
    <xf numFmtId="3" fontId="31" fillId="0" borderId="70" xfId="0" applyNumberFormat="1" applyFont="1" applyFill="1" applyBorder="1" applyAlignment="1">
      <alignment horizontal="center" vertical="center"/>
    </xf>
    <xf numFmtId="3" fontId="33" fillId="0" borderId="62" xfId="0" applyNumberFormat="1" applyFont="1" applyFill="1" applyBorder="1" applyAlignment="1">
      <alignment horizontal="center"/>
    </xf>
    <xf numFmtId="0" fontId="25" fillId="0" borderId="60" xfId="0" applyFont="1" applyFill="1" applyBorder="1" applyAlignment="1" applyProtection="1">
      <alignment horizontal="left" vertical="center" wrapText="1"/>
      <protection locked="0"/>
    </xf>
    <xf numFmtId="0" fontId="25" fillId="0" borderId="70" xfId="0" applyFont="1" applyFill="1" applyBorder="1" applyAlignment="1" applyProtection="1">
      <alignment horizontal="left" vertical="center" wrapText="1"/>
      <protection locked="0"/>
    </xf>
    <xf numFmtId="3" fontId="0" fillId="0" borderId="69" xfId="0" applyNumberFormat="1" applyFont="1" applyFill="1" applyBorder="1" applyAlignment="1">
      <alignment horizontal="center" vertical="center"/>
    </xf>
    <xf numFmtId="0" fontId="0" fillId="0" borderId="58" xfId="0" applyNumberFormat="1" applyFont="1" applyFill="1" applyBorder="1" applyAlignment="1">
      <alignment horizontal="center"/>
    </xf>
    <xf numFmtId="1" fontId="31" fillId="0" borderId="58" xfId="0" applyNumberFormat="1" applyFont="1" applyFill="1" applyBorder="1" applyAlignment="1">
      <alignment horizontal="center" vertical="center"/>
    </xf>
    <xf numFmtId="0" fontId="47" fillId="13" borderId="25" xfId="1" applyFont="1" applyFill="1" applyBorder="1" applyAlignment="1" applyProtection="1">
      <alignment horizontal="center" vertical="center" wrapText="1"/>
      <protection locked="0"/>
    </xf>
    <xf numFmtId="3" fontId="1" fillId="0" borderId="69" xfId="0" applyNumberFormat="1" applyFont="1" applyFill="1" applyBorder="1" applyAlignment="1">
      <alignment horizontal="center" vertical="center"/>
    </xf>
    <xf numFmtId="1" fontId="30" fillId="0" borderId="58" xfId="0" applyNumberFormat="1" applyFont="1" applyFill="1" applyBorder="1" applyAlignment="1">
      <alignment horizontal="center" vertical="center"/>
    </xf>
    <xf numFmtId="0" fontId="0" fillId="0" borderId="0" xfId="0" applyFont="1" applyBorder="1" applyAlignment="1">
      <alignment horizontal="left" wrapText="1"/>
    </xf>
    <xf numFmtId="0" fontId="0" fillId="0" borderId="0" xfId="0" applyFont="1" applyBorder="1" applyAlignment="1">
      <alignment horizontal="center" vertical="center"/>
    </xf>
    <xf numFmtId="3" fontId="22" fillId="0" borderId="0" xfId="0" applyNumberFormat="1" applyFont="1" applyBorder="1" applyAlignment="1">
      <alignment horizontal="center" vertical="center"/>
    </xf>
    <xf numFmtId="3" fontId="0" fillId="0" borderId="0" xfId="0" applyNumberFormat="1" applyFont="1" applyBorder="1" applyAlignment="1">
      <alignment horizontal="center" vertical="center"/>
    </xf>
    <xf numFmtId="49" fontId="26" fillId="0" borderId="70" xfId="0" applyNumberFormat="1" applyFont="1" applyBorder="1" applyAlignment="1" applyProtection="1">
      <alignment horizontal="center" vertical="center"/>
      <protection locked="0"/>
    </xf>
    <xf numFmtId="0" fontId="25" fillId="0" borderId="70" xfId="1" applyFont="1" applyFill="1" applyBorder="1" applyAlignment="1" applyProtection="1">
      <alignment horizontal="center" vertical="center" wrapText="1"/>
      <protection locked="0"/>
    </xf>
    <xf numFmtId="0" fontId="0" fillId="0" borderId="70" xfId="0" applyFont="1" applyBorder="1" applyAlignment="1">
      <alignment horizontal="center" vertical="center"/>
    </xf>
    <xf numFmtId="0" fontId="22" fillId="0" borderId="70" xfId="0" applyFont="1" applyBorder="1" applyAlignment="1">
      <alignment horizontal="center" vertical="center"/>
    </xf>
    <xf numFmtId="3" fontId="22" fillId="0" borderId="58" xfId="0" quotePrefix="1" applyNumberFormat="1" applyFont="1" applyFill="1" applyBorder="1" applyAlignment="1">
      <alignment horizontal="center" vertical="center"/>
    </xf>
    <xf numFmtId="0" fontId="16" fillId="0" borderId="58" xfId="0" applyFont="1" applyFill="1" applyBorder="1" applyAlignment="1" applyProtection="1">
      <alignment horizontal="center" vertical="center" wrapText="1"/>
      <protection locked="0"/>
    </xf>
    <xf numFmtId="0" fontId="16" fillId="0" borderId="58" xfId="1" applyFont="1" applyFill="1" applyBorder="1" applyAlignment="1" applyProtection="1">
      <alignment horizontal="left" vertical="center" wrapText="1"/>
      <protection locked="0"/>
    </xf>
    <xf numFmtId="0" fontId="16" fillId="0" borderId="58" xfId="0" applyFont="1" applyFill="1" applyBorder="1" applyAlignment="1">
      <alignment horizontal="center" vertical="center" wrapText="1"/>
    </xf>
    <xf numFmtId="0" fontId="0" fillId="0" borderId="15" xfId="0" applyBorder="1" applyAlignment="1">
      <alignment vertical="center"/>
    </xf>
    <xf numFmtId="0" fontId="0" fillId="0" borderId="94" xfId="0" applyBorder="1" applyAlignment="1">
      <alignment vertical="center"/>
    </xf>
    <xf numFmtId="3" fontId="0" fillId="0" borderId="58" xfId="2" applyNumberFormat="1" applyFont="1" applyFill="1" applyBorder="1" applyAlignment="1">
      <alignment horizontal="center" vertical="center"/>
    </xf>
    <xf numFmtId="37" fontId="0" fillId="0" borderId="58" xfId="2" applyNumberFormat="1" applyFont="1" applyFill="1" applyBorder="1" applyAlignment="1">
      <alignment horizontal="center" vertical="center"/>
    </xf>
    <xf numFmtId="1" fontId="22" fillId="0" borderId="58" xfId="2" applyNumberFormat="1" applyFont="1" applyFill="1" applyBorder="1" applyAlignment="1">
      <alignment horizontal="center" vertical="center"/>
    </xf>
    <xf numFmtId="167" fontId="34" fillId="0" borderId="58" xfId="2" applyNumberFormat="1" applyFont="1" applyFill="1" applyBorder="1" applyAlignment="1">
      <alignment vertical="center" wrapText="1"/>
    </xf>
    <xf numFmtId="3" fontId="30" fillId="9" borderId="100" xfId="0" applyNumberFormat="1" applyFont="1" applyFill="1" applyBorder="1" applyAlignment="1" applyProtection="1">
      <alignment horizontal="center" vertical="center" wrapText="1"/>
      <protection locked="0"/>
    </xf>
    <xf numFmtId="3" fontId="16" fillId="9" borderId="100" xfId="0" applyNumberFormat="1" applyFont="1" applyFill="1" applyBorder="1" applyAlignment="1" applyProtection="1">
      <alignment horizontal="center" vertical="center" wrapText="1"/>
      <protection locked="0"/>
    </xf>
    <xf numFmtId="3" fontId="16" fillId="0" borderId="101" xfId="0" applyNumberFormat="1" applyFont="1" applyFill="1" applyBorder="1" applyAlignment="1" applyProtection="1">
      <alignment horizontal="center" vertical="center" wrapText="1"/>
      <protection locked="0"/>
    </xf>
    <xf numFmtId="0" fontId="0" fillId="0" borderId="58" xfId="0" applyBorder="1"/>
    <xf numFmtId="3" fontId="0" fillId="12" borderId="85" xfId="0" applyNumberFormat="1" applyFont="1" applyFill="1" applyBorder="1" applyAlignment="1" applyProtection="1">
      <alignment horizontal="center" vertical="center" wrapText="1"/>
      <protection locked="0"/>
    </xf>
    <xf numFmtId="0" fontId="0" fillId="0" borderId="58" xfId="0" applyFont="1" applyFill="1" applyBorder="1" applyAlignment="1" applyProtection="1">
      <alignment horizontal="center" vertical="center" wrapText="1"/>
      <protection locked="0"/>
    </xf>
    <xf numFmtId="3" fontId="1" fillId="0" borderId="70" xfId="0" applyNumberFormat="1" applyFont="1" applyFill="1" applyBorder="1" applyAlignment="1">
      <alignment horizontal="center" vertical="center"/>
    </xf>
    <xf numFmtId="0" fontId="31" fillId="0" borderId="58" xfId="0" applyFont="1" applyFill="1" applyBorder="1" applyAlignment="1" applyProtection="1">
      <alignment horizontal="center" vertical="center" wrapText="1"/>
      <protection locked="0"/>
    </xf>
    <xf numFmtId="3" fontId="0" fillId="0" borderId="0" xfId="0" applyNumberFormat="1" applyFont="1" applyAlignment="1">
      <alignment horizontal="center" vertical="center"/>
    </xf>
    <xf numFmtId="3" fontId="0" fillId="0" borderId="0" xfId="0" applyNumberFormat="1" applyFont="1" applyAlignment="1">
      <alignment horizontal="center"/>
    </xf>
    <xf numFmtId="3" fontId="22" fillId="0" borderId="0" xfId="0" applyNumberFormat="1" applyFont="1" applyAlignment="1">
      <alignment horizontal="center" vertical="center"/>
    </xf>
    <xf numFmtId="3" fontId="22" fillId="0" borderId="70" xfId="0" applyNumberFormat="1" applyFont="1" applyBorder="1" applyAlignment="1">
      <alignment horizontal="center" vertical="center"/>
    </xf>
    <xf numFmtId="3" fontId="0" fillId="0" borderId="105" xfId="0" applyNumberFormat="1" applyFont="1" applyFill="1" applyBorder="1" applyAlignment="1">
      <alignment horizontal="center" vertical="center"/>
    </xf>
    <xf numFmtId="1" fontId="33" fillId="0" borderId="58" xfId="2" applyNumberFormat="1" applyFont="1" applyFill="1" applyBorder="1" applyAlignment="1">
      <alignment horizontal="center" vertical="center"/>
    </xf>
    <xf numFmtId="0" fontId="0" fillId="0" borderId="69" xfId="0" applyBorder="1"/>
    <xf numFmtId="49" fontId="11" fillId="0" borderId="0" xfId="0" applyNumberFormat="1" applyFont="1" applyBorder="1" applyAlignment="1" applyProtection="1">
      <alignment vertical="center"/>
      <protection locked="0"/>
    </xf>
    <xf numFmtId="49" fontId="11" fillId="0" borderId="0" xfId="0" applyNumberFormat="1" applyFont="1" applyBorder="1" applyAlignment="1" applyProtection="1">
      <alignment vertical="center" wrapText="1"/>
      <protection locked="0"/>
    </xf>
    <xf numFmtId="49" fontId="13" fillId="0" borderId="49" xfId="0" applyNumberFormat="1" applyFont="1" applyBorder="1" applyAlignment="1" applyProtection="1">
      <alignment vertical="center"/>
      <protection locked="0"/>
    </xf>
    <xf numFmtId="0" fontId="0" fillId="0" borderId="61" xfId="0" applyFont="1" applyFill="1" applyBorder="1" applyAlignment="1">
      <alignment horizontal="center" vertical="center"/>
    </xf>
    <xf numFmtId="0" fontId="0" fillId="0" borderId="61" xfId="0" applyFont="1" applyBorder="1" applyAlignment="1">
      <alignment horizontal="center" vertical="center"/>
    </xf>
    <xf numFmtId="0" fontId="22" fillId="0" borderId="61" xfId="0" applyFont="1" applyBorder="1" applyAlignment="1">
      <alignment horizontal="center" vertical="center"/>
    </xf>
    <xf numFmtId="0" fontId="0" fillId="0" borderId="61" xfId="0" applyFont="1" applyBorder="1" applyAlignment="1">
      <alignment horizontal="center"/>
    </xf>
    <xf numFmtId="0" fontId="0" fillId="0" borderId="63" xfId="0" applyFont="1" applyBorder="1" applyAlignment="1">
      <alignment horizontal="center"/>
    </xf>
    <xf numFmtId="0" fontId="0" fillId="0" borderId="78" xfId="0" applyFont="1" applyBorder="1" applyAlignment="1">
      <alignment horizontal="center"/>
    </xf>
    <xf numFmtId="3" fontId="0" fillId="0" borderId="76" xfId="0" applyNumberFormat="1" applyFont="1" applyBorder="1" applyAlignment="1">
      <alignment horizontal="center"/>
    </xf>
    <xf numFmtId="0" fontId="0" fillId="0" borderId="43" xfId="0" applyFont="1" applyBorder="1" applyAlignment="1">
      <alignment horizontal="center"/>
    </xf>
    <xf numFmtId="0" fontId="0" fillId="0" borderId="0" xfId="0" applyFill="1" applyAlignment="1">
      <alignment horizontal="center"/>
    </xf>
    <xf numFmtId="0" fontId="0" fillId="0" borderId="93" xfId="0" applyBorder="1" applyAlignment="1">
      <alignment horizontal="center" vertical="center"/>
    </xf>
    <xf numFmtId="0" fontId="0" fillId="0" borderId="92" xfId="0" applyBorder="1" applyAlignment="1">
      <alignment vertical="center"/>
    </xf>
    <xf numFmtId="49" fontId="29" fillId="0" borderId="58" xfId="0" applyNumberFormat="1" applyFont="1" applyFill="1" applyBorder="1" applyAlignment="1" applyProtection="1">
      <alignment horizontal="center" vertical="center" wrapText="1"/>
      <protection locked="0"/>
    </xf>
    <xf numFmtId="3" fontId="30" fillId="0" borderId="79" xfId="0" applyNumberFormat="1" applyFont="1" applyFill="1" applyBorder="1" applyAlignment="1" applyProtection="1">
      <alignment horizontal="center" vertical="center" wrapText="1"/>
      <protection locked="0"/>
    </xf>
    <xf numFmtId="3" fontId="30" fillId="0" borderId="64" xfId="0" applyNumberFormat="1" applyFont="1" applyFill="1" applyBorder="1" applyAlignment="1" applyProtection="1">
      <alignment horizontal="center" vertical="center" wrapText="1"/>
      <protection locked="0"/>
    </xf>
    <xf numFmtId="0" fontId="1" fillId="0" borderId="0" xfId="0" applyFont="1"/>
    <xf numFmtId="3" fontId="0" fillId="0" borderId="58" xfId="0" applyNumberFormat="1" applyFill="1" applyBorder="1" applyAlignment="1" applyProtection="1">
      <alignment horizontal="center" vertical="center" wrapText="1"/>
      <protection locked="0"/>
    </xf>
    <xf numFmtId="49" fontId="29" fillId="0" borderId="61" xfId="0" applyNumberFormat="1" applyFont="1" applyFill="1" applyBorder="1" applyAlignment="1" applyProtection="1">
      <alignment horizontal="center" vertical="center" wrapText="1"/>
      <protection locked="0"/>
    </xf>
    <xf numFmtId="49" fontId="16" fillId="0" borderId="65" xfId="0" applyNumberFormat="1" applyFont="1" applyBorder="1" applyAlignment="1" applyProtection="1">
      <alignment horizontal="center" vertical="center"/>
      <protection locked="0"/>
    </xf>
    <xf numFmtId="0" fontId="29" fillId="9" borderId="61" xfId="0" applyFont="1" applyFill="1" applyBorder="1" applyAlignment="1" applyProtection="1">
      <alignment horizontal="center" vertical="center" wrapText="1"/>
      <protection locked="0"/>
    </xf>
    <xf numFmtId="3" fontId="30" fillId="9" borderId="61" xfId="0" applyNumberFormat="1" applyFont="1" applyFill="1" applyBorder="1" applyAlignment="1" applyProtection="1">
      <alignment horizontal="center" vertical="center" wrapText="1"/>
      <protection locked="0"/>
    </xf>
    <xf numFmtId="3" fontId="16" fillId="9" borderId="61" xfId="0" applyNumberFormat="1" applyFont="1" applyFill="1" applyBorder="1" applyAlignment="1" applyProtection="1">
      <alignment horizontal="center" vertical="center" wrapText="1"/>
      <protection locked="0"/>
    </xf>
    <xf numFmtId="3" fontId="16" fillId="0" borderId="63" xfId="0" applyNumberFormat="1" applyFont="1" applyFill="1" applyBorder="1" applyAlignment="1" applyProtection="1">
      <alignment horizontal="center" vertical="center" wrapText="1"/>
      <protection locked="0"/>
    </xf>
    <xf numFmtId="49" fontId="26" fillId="0" borderId="58" xfId="0" applyNumberFormat="1" applyFont="1" applyFill="1" applyBorder="1" applyAlignment="1" applyProtection="1">
      <alignment horizontal="center" vertical="center"/>
      <protection locked="0"/>
    </xf>
    <xf numFmtId="167" fontId="26" fillId="0" borderId="58" xfId="2" applyNumberFormat="1" applyFont="1" applyFill="1" applyBorder="1" applyAlignment="1">
      <alignment horizontal="left" vertical="center" wrapText="1"/>
    </xf>
    <xf numFmtId="0" fontId="26" fillId="0" borderId="60" xfId="0" applyFont="1" applyFill="1" applyBorder="1" applyAlignment="1">
      <alignment horizontal="center" vertical="center"/>
    </xf>
    <xf numFmtId="167" fontId="29" fillId="0" borderId="58" xfId="2" applyNumberFormat="1" applyFont="1" applyFill="1" applyBorder="1" applyAlignment="1">
      <alignment horizontal="center" vertical="center"/>
    </xf>
    <xf numFmtId="0" fontId="24" fillId="0" borderId="58" xfId="1" applyFont="1" applyFill="1" applyBorder="1" applyAlignment="1" applyProtection="1">
      <alignment horizontal="left" vertical="center" wrapText="1"/>
      <protection locked="0"/>
    </xf>
    <xf numFmtId="167" fontId="29" fillId="0" borderId="58" xfId="2" applyNumberFormat="1" applyFont="1" applyFill="1" applyBorder="1" applyAlignment="1">
      <alignment horizontal="center" vertical="center" wrapText="1"/>
    </xf>
    <xf numFmtId="3" fontId="16" fillId="0" borderId="59" xfId="0" applyNumberFormat="1" applyFont="1" applyFill="1" applyBorder="1" applyAlignment="1" applyProtection="1">
      <alignment horizontal="center" vertical="center" wrapText="1"/>
      <protection locked="0"/>
    </xf>
    <xf numFmtId="0" fontId="36" fillId="11" borderId="93" xfId="0" applyFont="1" applyFill="1" applyBorder="1" applyAlignment="1" applyProtection="1">
      <alignment horizontal="center" vertical="center" wrapText="1"/>
      <protection locked="0"/>
    </xf>
    <xf numFmtId="3" fontId="30" fillId="12" borderId="108" xfId="0" applyNumberFormat="1" applyFont="1" applyFill="1" applyBorder="1" applyAlignment="1" applyProtection="1">
      <alignment horizontal="center" vertical="center" wrapText="1"/>
      <protection locked="0"/>
    </xf>
    <xf numFmtId="3" fontId="16" fillId="0" borderId="99" xfId="0" applyNumberFormat="1" applyFont="1" applyFill="1" applyBorder="1" applyAlignment="1" applyProtection="1">
      <alignment horizontal="center" vertical="center" wrapText="1"/>
      <protection locked="0"/>
    </xf>
    <xf numFmtId="3" fontId="16" fillId="0" borderId="106" xfId="0" applyNumberFormat="1" applyFont="1" applyFill="1" applyBorder="1" applyAlignment="1" applyProtection="1">
      <alignment horizontal="center" vertical="center" wrapText="1"/>
      <protection locked="0"/>
    </xf>
    <xf numFmtId="3" fontId="0" fillId="12" borderId="108" xfId="0" applyNumberFormat="1" applyFont="1" applyFill="1" applyBorder="1" applyAlignment="1" applyProtection="1">
      <alignment horizontal="center" vertical="center" wrapText="1"/>
      <protection locked="0"/>
    </xf>
    <xf numFmtId="3" fontId="16" fillId="0" borderId="69" xfId="0" applyNumberFormat="1" applyFont="1" applyFill="1" applyBorder="1" applyAlignment="1" applyProtection="1">
      <alignment horizontal="center" vertical="center" wrapText="1"/>
      <protection locked="0"/>
    </xf>
    <xf numFmtId="3" fontId="30" fillId="12" borderId="108" xfId="0" applyNumberFormat="1" applyFont="1" applyFill="1" applyBorder="1" applyAlignment="1" applyProtection="1">
      <alignment horizontal="center" wrapText="1"/>
      <protection locked="0"/>
    </xf>
    <xf numFmtId="3" fontId="16" fillId="0" borderId="98" xfId="0" applyNumberFormat="1" applyFont="1" applyFill="1" applyBorder="1" applyAlignment="1" applyProtection="1">
      <alignment horizontal="center" vertical="center" wrapText="1"/>
      <protection locked="0"/>
    </xf>
    <xf numFmtId="3" fontId="16" fillId="0" borderId="109" xfId="0" applyNumberFormat="1" applyFont="1" applyFill="1" applyBorder="1" applyAlignment="1" applyProtection="1">
      <alignment horizontal="center" vertical="center" wrapText="1"/>
      <protection locked="0"/>
    </xf>
    <xf numFmtId="3" fontId="16" fillId="0" borderId="73" xfId="0" applyNumberFormat="1" applyFont="1" applyFill="1" applyBorder="1" applyAlignment="1" applyProtection="1">
      <alignment horizontal="center" vertical="center" wrapText="1"/>
      <protection locked="0"/>
    </xf>
    <xf numFmtId="3" fontId="30" fillId="12" borderId="108" xfId="1" applyNumberFormat="1" applyFont="1" applyFill="1" applyBorder="1" applyAlignment="1" applyProtection="1">
      <alignment horizontal="center"/>
      <protection locked="0"/>
    </xf>
    <xf numFmtId="3" fontId="30" fillId="12" borderId="73" xfId="0" applyNumberFormat="1" applyFont="1" applyFill="1" applyBorder="1" applyAlignment="1" applyProtection="1">
      <alignment horizontal="center" wrapText="1"/>
      <protection locked="0"/>
    </xf>
    <xf numFmtId="3" fontId="30" fillId="11" borderId="108" xfId="0" applyNumberFormat="1" applyFont="1" applyFill="1" applyBorder="1" applyAlignment="1" applyProtection="1">
      <alignment horizontal="center" vertical="center" wrapText="1"/>
      <protection locked="0"/>
    </xf>
    <xf numFmtId="3" fontId="16" fillId="9" borderId="79" xfId="0" applyNumberFormat="1" applyFont="1" applyFill="1" applyBorder="1" applyAlignment="1" applyProtection="1">
      <alignment horizontal="center" vertical="center" wrapText="1"/>
      <protection locked="0"/>
    </xf>
    <xf numFmtId="3" fontId="16" fillId="9" borderId="78" xfId="0" applyNumberFormat="1" applyFont="1" applyFill="1" applyBorder="1" applyAlignment="1" applyProtection="1">
      <alignment horizontal="center" vertical="center" wrapText="1"/>
      <protection locked="0"/>
    </xf>
    <xf numFmtId="3" fontId="16" fillId="9" borderId="76" xfId="0" applyNumberFormat="1" applyFont="1" applyFill="1" applyBorder="1" applyAlignment="1" applyProtection="1">
      <alignment horizontal="center" vertical="center" wrapText="1"/>
      <protection locked="0"/>
    </xf>
    <xf numFmtId="3" fontId="16" fillId="9" borderId="64" xfId="0" applyNumberFormat="1" applyFont="1" applyFill="1" applyBorder="1" applyAlignment="1" applyProtection="1">
      <alignment horizontal="center" vertical="center" wrapText="1"/>
      <protection locked="0"/>
    </xf>
    <xf numFmtId="3" fontId="16" fillId="9" borderId="101" xfId="0" applyNumberFormat="1" applyFont="1" applyFill="1" applyBorder="1" applyAlignment="1" applyProtection="1">
      <alignment horizontal="center" vertical="center" wrapText="1"/>
      <protection locked="0"/>
    </xf>
    <xf numFmtId="3" fontId="16" fillId="9" borderId="63" xfId="0" applyNumberFormat="1" applyFont="1" applyFill="1" applyBorder="1" applyAlignment="1" applyProtection="1">
      <alignment horizontal="center" vertical="center" wrapText="1"/>
      <protection locked="0"/>
    </xf>
    <xf numFmtId="3" fontId="16" fillId="0" borderId="59" xfId="0" applyNumberFormat="1" applyFont="1" applyFill="1" applyBorder="1" applyAlignment="1" applyProtection="1">
      <alignment horizontal="center" vertical="center" wrapText="1"/>
      <protection locked="0"/>
    </xf>
    <xf numFmtId="0" fontId="36" fillId="11" borderId="56" xfId="0" applyFont="1" applyFill="1" applyBorder="1" applyAlignment="1" applyProtection="1">
      <alignment horizontal="center" vertical="center" wrapText="1"/>
      <protection locked="0"/>
    </xf>
    <xf numFmtId="0" fontId="36" fillId="11" borderId="28" xfId="0" applyFont="1" applyFill="1" applyBorder="1" applyAlignment="1" applyProtection="1">
      <alignment horizontal="center" vertical="center" wrapText="1"/>
      <protection locked="0"/>
    </xf>
    <xf numFmtId="0" fontId="54" fillId="0" borderId="54" xfId="0" applyFont="1" applyFill="1" applyBorder="1" applyAlignment="1" applyProtection="1">
      <alignment horizontal="center" vertical="center" wrapText="1"/>
      <protection locked="0"/>
    </xf>
    <xf numFmtId="0" fontId="54" fillId="0" borderId="56" xfId="0" applyFont="1" applyFill="1" applyBorder="1" applyAlignment="1" applyProtection="1">
      <alignment horizontal="center" vertical="center" wrapText="1"/>
      <protection locked="0"/>
    </xf>
    <xf numFmtId="0" fontId="54" fillId="0" borderId="28" xfId="0" applyFont="1" applyFill="1" applyBorder="1" applyAlignment="1" applyProtection="1">
      <alignment horizontal="center" vertical="center" wrapText="1"/>
      <protection locked="0"/>
    </xf>
    <xf numFmtId="0" fontId="53" fillId="14" borderId="0" xfId="0" applyFont="1" applyFill="1"/>
    <xf numFmtId="49" fontId="37" fillId="0" borderId="1" xfId="0" applyNumberFormat="1" applyFont="1" applyFill="1" applyBorder="1" applyAlignment="1" applyProtection="1">
      <alignment horizontal="center" vertical="center"/>
      <protection locked="0"/>
    </xf>
    <xf numFmtId="0" fontId="0" fillId="13" borderId="0" xfId="0" applyFill="1"/>
    <xf numFmtId="3" fontId="47" fillId="13" borderId="83" xfId="0" applyNumberFormat="1" applyFont="1" applyFill="1" applyBorder="1" applyAlignment="1" applyProtection="1">
      <alignment horizontal="center" vertical="center"/>
      <protection locked="0"/>
    </xf>
    <xf numFmtId="4" fontId="47" fillId="13" borderId="84" xfId="0" applyNumberFormat="1" applyFont="1" applyFill="1" applyBorder="1" applyAlignment="1" applyProtection="1">
      <alignment horizontal="center" vertical="center" wrapText="1"/>
      <protection locked="0"/>
    </xf>
    <xf numFmtId="3" fontId="47" fillId="13" borderId="84" xfId="0" applyNumberFormat="1" applyFont="1" applyFill="1" applyBorder="1" applyAlignment="1" applyProtection="1">
      <alignment horizontal="center" vertical="center" wrapText="1"/>
      <protection locked="0"/>
    </xf>
    <xf numFmtId="3" fontId="47" fillId="13" borderId="85" xfId="0" applyNumberFormat="1" applyFont="1" applyFill="1" applyBorder="1" applyAlignment="1" applyProtection="1">
      <alignment horizontal="center" vertical="center" wrapText="1"/>
      <protection locked="0"/>
    </xf>
    <xf numFmtId="49" fontId="47" fillId="13" borderId="83" xfId="0" applyNumberFormat="1" applyFont="1" applyFill="1" applyBorder="1" applyAlignment="1" applyProtection="1">
      <alignment horizontal="center" vertical="center"/>
      <protection locked="0"/>
    </xf>
    <xf numFmtId="0" fontId="47" fillId="13" borderId="84" xfId="0" applyFont="1" applyFill="1" applyBorder="1" applyAlignment="1" applyProtection="1">
      <alignment horizontal="center" vertical="center" wrapText="1"/>
      <protection locked="0"/>
    </xf>
    <xf numFmtId="0" fontId="0" fillId="13" borderId="0" xfId="0" applyFill="1" applyBorder="1"/>
    <xf numFmtId="0" fontId="55" fillId="13" borderId="7" xfId="1" applyFont="1" applyFill="1" applyBorder="1" applyAlignment="1" applyProtection="1">
      <alignment horizontal="center" vertical="center" wrapText="1"/>
      <protection locked="0"/>
    </xf>
    <xf numFmtId="49" fontId="55" fillId="13" borderId="17" xfId="0" applyNumberFormat="1" applyFont="1" applyFill="1" applyBorder="1" applyAlignment="1" applyProtection="1">
      <alignment horizontal="center" vertical="center" wrapText="1"/>
      <protection locked="0"/>
    </xf>
    <xf numFmtId="0" fontId="55" fillId="13" borderId="7" xfId="0" applyFont="1" applyFill="1" applyBorder="1" applyAlignment="1" applyProtection="1">
      <alignment horizontal="center" vertical="center" wrapText="1"/>
      <protection locked="0"/>
    </xf>
    <xf numFmtId="49" fontId="57" fillId="13" borderId="12" xfId="0" applyNumberFormat="1" applyFont="1" applyFill="1" applyBorder="1" applyAlignment="1" applyProtection="1">
      <alignment horizontal="center" vertical="center"/>
      <protection locked="0"/>
    </xf>
    <xf numFmtId="0" fontId="58" fillId="13" borderId="14" xfId="0" applyFont="1" applyFill="1" applyBorder="1" applyAlignment="1" applyProtection="1">
      <alignment horizontal="center" vertical="center"/>
      <protection locked="0"/>
    </xf>
    <xf numFmtId="3" fontId="57" fillId="13" borderId="14" xfId="0" applyNumberFormat="1" applyFont="1" applyFill="1" applyBorder="1" applyAlignment="1" applyProtection="1">
      <alignment horizontal="center" vertical="center"/>
      <protection locked="0"/>
    </xf>
    <xf numFmtId="3" fontId="53" fillId="13" borderId="14" xfId="0" applyNumberFormat="1" applyFont="1" applyFill="1" applyBorder="1" applyAlignment="1">
      <alignment horizontal="center" vertical="center"/>
    </xf>
    <xf numFmtId="0" fontId="47" fillId="13" borderId="61" xfId="0" applyFont="1" applyFill="1" applyBorder="1" applyAlignment="1" applyProtection="1">
      <alignment horizontal="center" vertical="center" wrapText="1"/>
      <protection locked="0"/>
    </xf>
    <xf numFmtId="0" fontId="47" fillId="13" borderId="62" xfId="0" applyFont="1" applyFill="1" applyBorder="1" applyAlignment="1" applyProtection="1">
      <alignment horizontal="center" vertical="center" wrapText="1"/>
      <protection locked="0"/>
    </xf>
    <xf numFmtId="0" fontId="26" fillId="0" borderId="60" xfId="0" applyFont="1" applyFill="1" applyBorder="1" applyAlignment="1" applyProtection="1">
      <alignment horizontal="center" vertical="center" wrapText="1"/>
      <protection locked="0"/>
    </xf>
    <xf numFmtId="3" fontId="0" fillId="0" borderId="61" xfId="0" applyNumberFormat="1" applyFont="1" applyFill="1" applyBorder="1" applyAlignment="1">
      <alignment horizontal="center" vertical="center"/>
    </xf>
    <xf numFmtId="3" fontId="0" fillId="0" borderId="59" xfId="0" applyNumberFormat="1" applyFont="1" applyFill="1" applyBorder="1" applyAlignment="1">
      <alignment horizontal="center" vertical="center"/>
    </xf>
    <xf numFmtId="3" fontId="0" fillId="0" borderId="58" xfId="0" applyNumberFormat="1" applyFont="1" applyFill="1" applyBorder="1" applyAlignment="1">
      <alignment horizontal="center" vertical="center"/>
    </xf>
    <xf numFmtId="3" fontId="0" fillId="0" borderId="60" xfId="0" applyNumberFormat="1" applyFont="1" applyBorder="1" applyAlignment="1">
      <alignment horizontal="center" vertical="center"/>
    </xf>
    <xf numFmtId="3" fontId="0" fillId="0" borderId="70" xfId="0" applyNumberFormat="1" applyFont="1" applyFill="1" applyBorder="1" applyAlignment="1">
      <alignment horizontal="center" vertical="center"/>
    </xf>
    <xf numFmtId="3" fontId="0" fillId="0" borderId="58" xfId="0" applyNumberFormat="1" applyFont="1" applyFill="1" applyBorder="1" applyAlignment="1" applyProtection="1">
      <alignment horizontal="center" vertical="center" wrapText="1"/>
      <protection locked="0"/>
    </xf>
    <xf numFmtId="49" fontId="0" fillId="0" borderId="58" xfId="0" applyNumberFormat="1" applyFill="1" applyBorder="1" applyAlignment="1" applyProtection="1">
      <alignment horizontal="center" vertical="center" wrapText="1"/>
      <protection locked="0"/>
    </xf>
    <xf numFmtId="3" fontId="0" fillId="0" borderId="58" xfId="0" applyNumberFormat="1" applyFont="1" applyFill="1" applyBorder="1" applyAlignment="1">
      <alignment horizontal="center" vertical="center" wrapText="1"/>
    </xf>
    <xf numFmtId="49" fontId="0" fillId="0" borderId="61" xfId="0" applyNumberFormat="1" applyFill="1" applyBorder="1" applyAlignment="1" applyProtection="1">
      <alignment horizontal="center" vertical="center" wrapText="1"/>
      <protection locked="0"/>
    </xf>
    <xf numFmtId="0" fontId="26" fillId="0" borderId="58" xfId="0" applyFont="1" applyFill="1" applyBorder="1" applyAlignment="1" applyProtection="1">
      <alignment horizontal="center" vertical="center" wrapText="1"/>
      <protection locked="0"/>
    </xf>
    <xf numFmtId="49" fontId="0" fillId="0" borderId="58" xfId="0" applyNumberFormat="1" applyFill="1" applyBorder="1" applyAlignment="1" applyProtection="1">
      <alignment horizontal="center" vertical="center"/>
      <protection locked="0"/>
    </xf>
    <xf numFmtId="3" fontId="0" fillId="0" borderId="59" xfId="0" applyNumberFormat="1" applyFill="1" applyBorder="1" applyAlignment="1" applyProtection="1">
      <alignment horizontal="center" vertical="center"/>
      <protection locked="0"/>
    </xf>
    <xf numFmtId="3" fontId="16" fillId="0" borderId="58" xfId="0" applyNumberFormat="1" applyFont="1" applyFill="1" applyBorder="1" applyAlignment="1" applyProtection="1">
      <alignment horizontal="center" vertical="center" wrapText="1"/>
      <protection locked="0"/>
    </xf>
    <xf numFmtId="3" fontId="0" fillId="0" borderId="70" xfId="0" applyNumberFormat="1" applyFont="1" applyBorder="1" applyAlignment="1">
      <alignment horizontal="center" vertical="center"/>
    </xf>
    <xf numFmtId="3" fontId="16" fillId="0" borderId="59" xfId="0" applyNumberFormat="1" applyFont="1" applyFill="1" applyBorder="1" applyAlignment="1" applyProtection="1">
      <alignment horizontal="center" vertical="center" wrapText="1"/>
      <protection locked="0"/>
    </xf>
    <xf numFmtId="49" fontId="0" fillId="0" borderId="58" xfId="0" applyNumberFormat="1" applyFont="1" applyFill="1" applyBorder="1" applyAlignment="1" applyProtection="1">
      <alignment horizontal="center" vertical="center" wrapText="1"/>
      <protection locked="0"/>
    </xf>
    <xf numFmtId="3" fontId="0" fillId="0" borderId="58" xfId="0" applyNumberFormat="1" applyFont="1" applyFill="1" applyBorder="1" applyAlignment="1" applyProtection="1">
      <alignment horizontal="center" vertical="center"/>
      <protection locked="0"/>
    </xf>
    <xf numFmtId="3" fontId="0" fillId="0" borderId="58" xfId="0" applyNumberFormat="1" applyFont="1" applyBorder="1" applyAlignment="1">
      <alignment horizontal="center" vertical="center"/>
    </xf>
    <xf numFmtId="3" fontId="0" fillId="0" borderId="59" xfId="0" applyNumberFormat="1" applyFont="1" applyFill="1" applyBorder="1" applyAlignment="1" applyProtection="1">
      <alignment horizontal="center" vertical="center"/>
      <protection locked="0"/>
    </xf>
    <xf numFmtId="0" fontId="26" fillId="0" borderId="59" xfId="0" applyFont="1" applyFill="1" applyBorder="1" applyAlignment="1" applyProtection="1">
      <alignment horizontal="center" vertical="center" wrapText="1"/>
      <protection locked="0"/>
    </xf>
    <xf numFmtId="3" fontId="0" fillId="0" borderId="60" xfId="0" applyNumberFormat="1" applyFont="1" applyFill="1" applyBorder="1" applyAlignment="1">
      <alignment horizontal="center" vertical="center"/>
    </xf>
    <xf numFmtId="3" fontId="0" fillId="0" borderId="58" xfId="0" applyNumberFormat="1" applyFill="1" applyBorder="1" applyAlignment="1" applyProtection="1">
      <alignment horizontal="center" vertical="center"/>
      <protection locked="0"/>
    </xf>
    <xf numFmtId="0" fontId="29" fillId="0" borderId="58" xfId="0" applyFont="1" applyFill="1" applyBorder="1" applyAlignment="1" applyProtection="1">
      <alignment horizontal="center" vertical="center" wrapText="1"/>
      <protection locked="0"/>
    </xf>
    <xf numFmtId="49" fontId="16" fillId="0" borderId="58" xfId="0" applyNumberFormat="1" applyFont="1" applyFill="1" applyBorder="1" applyAlignment="1" applyProtection="1">
      <alignment horizontal="center" vertical="center" wrapText="1"/>
      <protection locked="0"/>
    </xf>
    <xf numFmtId="2" fontId="26" fillId="0" borderId="59" xfId="0" applyNumberFormat="1" applyFont="1" applyFill="1" applyBorder="1" applyAlignment="1" applyProtection="1">
      <alignment horizontal="center" vertical="center" wrapText="1"/>
      <protection locked="0"/>
    </xf>
    <xf numFmtId="3" fontId="0" fillId="0" borderId="59" xfId="0" applyNumberFormat="1" applyFont="1" applyFill="1" applyBorder="1" applyAlignment="1" applyProtection="1">
      <alignment horizontal="center" vertical="center" wrapText="1"/>
      <protection locked="0"/>
    </xf>
    <xf numFmtId="2" fontId="0" fillId="0" borderId="58" xfId="0" applyNumberFormat="1" applyFill="1" applyBorder="1" applyAlignment="1" applyProtection="1">
      <alignment horizontal="center" vertical="center"/>
      <protection locked="0"/>
    </xf>
    <xf numFmtId="3" fontId="0" fillId="0" borderId="60" xfId="0" applyNumberFormat="1" applyFont="1" applyFill="1" applyBorder="1" applyAlignment="1" applyProtection="1">
      <alignment horizontal="center" vertical="center"/>
      <protection locked="0"/>
    </xf>
    <xf numFmtId="0" fontId="16" fillId="0" borderId="58" xfId="0" applyNumberFormat="1" applyFont="1" applyFill="1" applyBorder="1" applyAlignment="1" applyProtection="1">
      <alignment horizontal="center" vertical="center" wrapText="1"/>
      <protection locked="0"/>
    </xf>
    <xf numFmtId="0" fontId="26" fillId="0" borderId="58" xfId="0" applyFont="1" applyFill="1" applyBorder="1" applyAlignment="1" applyProtection="1">
      <alignment horizontal="center" vertical="center"/>
      <protection locked="0"/>
    </xf>
    <xf numFmtId="49" fontId="0" fillId="0" borderId="58" xfId="0" applyNumberFormat="1" applyFont="1" applyFill="1" applyBorder="1" applyAlignment="1" applyProtection="1">
      <alignment horizontal="center" vertical="center"/>
      <protection locked="0"/>
    </xf>
    <xf numFmtId="0" fontId="26" fillId="0" borderId="61" xfId="0" applyFont="1" applyFill="1" applyBorder="1" applyAlignment="1" applyProtection="1">
      <alignment horizontal="center" vertical="center" wrapText="1"/>
      <protection locked="0"/>
    </xf>
    <xf numFmtId="0" fontId="1" fillId="0" borderId="58" xfId="0" applyFont="1" applyFill="1" applyBorder="1" applyAlignment="1">
      <alignment horizontal="center" vertical="center"/>
    </xf>
    <xf numFmtId="49" fontId="0" fillId="0" borderId="59" xfId="0" applyNumberFormat="1" applyFont="1" applyFill="1" applyBorder="1" applyAlignment="1" applyProtection="1">
      <alignment horizontal="center" vertical="center" wrapText="1"/>
      <protection locked="0"/>
    </xf>
    <xf numFmtId="0" fontId="29" fillId="0" borderId="59" xfId="0" applyFont="1" applyFill="1" applyBorder="1" applyAlignment="1" applyProtection="1">
      <alignment horizontal="center" vertical="center" wrapText="1"/>
      <protection locked="0"/>
    </xf>
    <xf numFmtId="3" fontId="16" fillId="0" borderId="58" xfId="0" applyNumberFormat="1" applyFont="1" applyFill="1" applyBorder="1" applyAlignment="1">
      <alignment horizontal="center" vertical="center" wrapText="1"/>
    </xf>
    <xf numFmtId="1" fontId="16" fillId="0" borderId="58" xfId="0" applyNumberFormat="1" applyFont="1" applyFill="1" applyBorder="1" applyAlignment="1" applyProtection="1">
      <alignment horizontal="center" vertical="center" wrapText="1"/>
      <protection locked="0"/>
    </xf>
    <xf numFmtId="3" fontId="0" fillId="0" borderId="59" xfId="0" applyNumberFormat="1" applyFont="1" applyFill="1" applyBorder="1" applyAlignment="1">
      <alignment horizontal="center" vertical="center" wrapText="1"/>
    </xf>
    <xf numFmtId="0" fontId="16" fillId="0" borderId="59" xfId="0" applyFont="1" applyFill="1" applyBorder="1" applyAlignment="1">
      <alignment horizontal="center" vertical="center" wrapText="1"/>
    </xf>
    <xf numFmtId="49" fontId="0" fillId="0" borderId="58" xfId="0" applyNumberFormat="1" applyFill="1" applyBorder="1" applyAlignment="1" applyProtection="1">
      <alignment horizontal="center" vertical="center" wrapText="1"/>
      <protection locked="0"/>
    </xf>
    <xf numFmtId="0" fontId="47" fillId="13" borderId="61" xfId="0" applyFont="1" applyFill="1" applyBorder="1" applyAlignment="1" applyProtection="1">
      <alignment horizontal="center" vertical="center" wrapText="1"/>
      <protection locked="0"/>
    </xf>
    <xf numFmtId="0" fontId="47" fillId="13" borderId="62" xfId="0" applyFont="1" applyFill="1" applyBorder="1" applyAlignment="1" applyProtection="1">
      <alignment horizontal="center" vertical="center" wrapText="1"/>
      <protection locked="0"/>
    </xf>
    <xf numFmtId="3" fontId="0" fillId="0" borderId="58" xfId="0" applyNumberFormat="1" applyFont="1" applyFill="1" applyBorder="1" applyAlignment="1" applyProtection="1">
      <alignment horizontal="center" vertical="center" wrapText="1"/>
      <protection locked="0"/>
    </xf>
    <xf numFmtId="3" fontId="0" fillId="0" borderId="58" xfId="0" applyNumberFormat="1" applyFont="1" applyFill="1" applyBorder="1" applyAlignment="1">
      <alignment horizontal="center" vertical="center" wrapText="1"/>
    </xf>
    <xf numFmtId="3" fontId="0" fillId="0" borderId="59" xfId="0" applyNumberFormat="1" applyFont="1" applyFill="1" applyBorder="1" applyAlignment="1">
      <alignment horizontal="center" vertical="center"/>
    </xf>
    <xf numFmtId="0" fontId="26" fillId="0" borderId="59" xfId="0" applyFont="1" applyFill="1" applyBorder="1" applyAlignment="1" applyProtection="1">
      <alignment horizontal="center" vertical="center" wrapText="1"/>
      <protection locked="0"/>
    </xf>
    <xf numFmtId="3" fontId="0" fillId="0" borderId="59" xfId="0" applyNumberFormat="1" applyFill="1" applyBorder="1" applyAlignment="1" applyProtection="1">
      <alignment horizontal="center" vertical="center"/>
      <protection locked="0"/>
    </xf>
    <xf numFmtId="49" fontId="0" fillId="0" borderId="59" xfId="0" applyNumberFormat="1" applyFill="1" applyBorder="1" applyAlignment="1" applyProtection="1">
      <alignment horizontal="center" vertical="center"/>
      <protection locked="0"/>
    </xf>
    <xf numFmtId="3" fontId="0" fillId="0" borderId="58" xfId="0" applyNumberFormat="1" applyFill="1" applyBorder="1" applyAlignment="1" applyProtection="1">
      <alignment horizontal="center" vertical="center"/>
      <protection locked="0"/>
    </xf>
    <xf numFmtId="49" fontId="0" fillId="0" borderId="58" xfId="0" applyNumberFormat="1" applyFill="1" applyBorder="1" applyAlignment="1" applyProtection="1">
      <alignment horizontal="center" vertical="center"/>
      <protection locked="0"/>
    </xf>
    <xf numFmtId="0" fontId="26" fillId="0" borderId="58" xfId="0" applyFont="1" applyFill="1" applyBorder="1" applyAlignment="1" applyProtection="1">
      <alignment horizontal="center" vertical="center" wrapText="1"/>
      <protection locked="0"/>
    </xf>
    <xf numFmtId="3" fontId="0" fillId="0" borderId="58" xfId="0" applyNumberFormat="1" applyFont="1" applyFill="1" applyBorder="1" applyAlignment="1" applyProtection="1">
      <alignment horizontal="center" vertical="center"/>
      <protection locked="0"/>
    </xf>
    <xf numFmtId="3" fontId="0" fillId="0" borderId="59" xfId="0" applyNumberFormat="1" applyFont="1" applyFill="1" applyBorder="1" applyAlignment="1" applyProtection="1">
      <alignment horizontal="center" vertical="center" wrapText="1"/>
      <protection locked="0"/>
    </xf>
    <xf numFmtId="49" fontId="0" fillId="0" borderId="59" xfId="0" applyNumberFormat="1" applyFill="1" applyBorder="1" applyAlignment="1" applyProtection="1">
      <alignment horizontal="center" vertical="center" wrapText="1"/>
      <protection locked="0"/>
    </xf>
    <xf numFmtId="0" fontId="26" fillId="0" borderId="60" xfId="0" applyFont="1" applyFill="1" applyBorder="1" applyAlignment="1" applyProtection="1">
      <alignment horizontal="center" vertical="center" wrapText="1"/>
      <protection locked="0"/>
    </xf>
    <xf numFmtId="3" fontId="0" fillId="0" borderId="59" xfId="0" applyNumberFormat="1" applyFont="1" applyFill="1" applyBorder="1" applyAlignment="1">
      <alignment horizontal="center" vertical="center" wrapText="1"/>
    </xf>
    <xf numFmtId="3" fontId="0" fillId="0" borderId="60" xfId="0" applyNumberFormat="1" applyFont="1" applyFill="1" applyBorder="1" applyAlignment="1" applyProtection="1">
      <alignment horizontal="center" vertical="center"/>
      <protection locked="0"/>
    </xf>
    <xf numFmtId="3" fontId="0" fillId="0" borderId="59" xfId="0" applyNumberFormat="1" applyFont="1" applyFill="1" applyBorder="1" applyAlignment="1" applyProtection="1">
      <alignment horizontal="center" vertical="center"/>
      <protection locked="0"/>
    </xf>
    <xf numFmtId="3" fontId="0" fillId="0" borderId="60" xfId="0" applyNumberFormat="1" applyFont="1" applyBorder="1" applyAlignment="1">
      <alignment horizontal="center" vertical="center"/>
    </xf>
    <xf numFmtId="3" fontId="0" fillId="0" borderId="70" xfId="0" applyNumberFormat="1" applyFont="1" applyBorder="1" applyAlignment="1">
      <alignment horizontal="center" vertical="center"/>
    </xf>
    <xf numFmtId="3" fontId="0" fillId="0" borderId="59" xfId="0" applyNumberFormat="1" applyFont="1" applyBorder="1" applyAlignment="1">
      <alignment horizontal="center" vertical="center"/>
    </xf>
    <xf numFmtId="49" fontId="0" fillId="0" borderId="58" xfId="0" applyNumberFormat="1" applyFont="1" applyFill="1" applyBorder="1" applyAlignment="1" applyProtection="1">
      <alignment horizontal="center" vertical="center" wrapText="1"/>
      <protection locked="0"/>
    </xf>
    <xf numFmtId="49" fontId="16" fillId="0" borderId="58" xfId="0" applyNumberFormat="1" applyFont="1" applyFill="1" applyBorder="1" applyAlignment="1" applyProtection="1">
      <alignment horizontal="center" vertical="center" wrapText="1"/>
      <protection locked="0"/>
    </xf>
    <xf numFmtId="0" fontId="26" fillId="0" borderId="58" xfId="0" applyFont="1" applyFill="1" applyBorder="1" applyAlignment="1" applyProtection="1">
      <alignment horizontal="center" vertical="center"/>
      <protection locked="0"/>
    </xf>
    <xf numFmtId="3" fontId="0" fillId="0" borderId="58" xfId="0" applyNumberFormat="1" applyFont="1" applyFill="1" applyBorder="1" applyAlignment="1">
      <alignment horizontal="center" vertical="center"/>
    </xf>
    <xf numFmtId="3" fontId="0" fillId="0" borderId="58" xfId="0" applyNumberFormat="1" applyFont="1" applyBorder="1" applyAlignment="1">
      <alignment horizontal="center" vertical="center"/>
    </xf>
    <xf numFmtId="3" fontId="16" fillId="0" borderId="59" xfId="0" applyNumberFormat="1" applyFont="1" applyBorder="1" applyAlignment="1">
      <alignment horizontal="center" vertical="center"/>
    </xf>
    <xf numFmtId="49" fontId="0" fillId="0" borderId="59" xfId="0" applyNumberFormat="1" applyFont="1" applyFill="1" applyBorder="1" applyAlignment="1" applyProtection="1">
      <alignment horizontal="center" vertical="center" wrapText="1"/>
      <protection locked="0"/>
    </xf>
    <xf numFmtId="2" fontId="0" fillId="0" borderId="58" xfId="0" applyNumberFormat="1" applyFill="1" applyBorder="1" applyAlignment="1" applyProtection="1">
      <alignment horizontal="center" vertical="center" wrapText="1"/>
      <protection locked="0"/>
    </xf>
    <xf numFmtId="49" fontId="0" fillId="0" borderId="59" xfId="0" applyNumberFormat="1" applyFont="1" applyFill="1" applyBorder="1" applyAlignment="1" applyProtection="1">
      <alignment horizontal="center" vertical="center"/>
      <protection locked="0"/>
    </xf>
    <xf numFmtId="49" fontId="0" fillId="0" borderId="58" xfId="0" applyNumberFormat="1" applyFont="1" applyFill="1" applyBorder="1" applyAlignment="1" applyProtection="1">
      <alignment horizontal="center" vertical="center"/>
      <protection locked="0"/>
    </xf>
    <xf numFmtId="49" fontId="0" fillId="0" borderId="82" xfId="0" applyNumberFormat="1" applyFill="1" applyBorder="1" applyAlignment="1" applyProtection="1">
      <alignment horizontal="center" vertical="center" wrapText="1"/>
      <protection locked="0"/>
    </xf>
    <xf numFmtId="2" fontId="16" fillId="0" borderId="58" xfId="0" applyNumberFormat="1" applyFont="1" applyFill="1" applyBorder="1" applyAlignment="1" applyProtection="1">
      <alignment horizontal="center" vertical="center" wrapText="1"/>
      <protection locked="0"/>
    </xf>
    <xf numFmtId="3" fontId="16" fillId="0" borderId="58" xfId="0" applyNumberFormat="1" applyFont="1" applyFill="1" applyBorder="1" applyAlignment="1" applyProtection="1">
      <alignment horizontal="center" vertical="center" wrapText="1"/>
      <protection locked="0"/>
    </xf>
    <xf numFmtId="0" fontId="0" fillId="0" borderId="82" xfId="0" applyBorder="1" applyAlignment="1">
      <alignment horizontal="center" vertical="center"/>
    </xf>
    <xf numFmtId="0" fontId="30" fillId="0" borderId="60" xfId="0" applyFont="1" applyFill="1" applyBorder="1" applyAlignment="1">
      <alignment horizontal="center" vertical="center"/>
    </xf>
    <xf numFmtId="0" fontId="47" fillId="0" borderId="60" xfId="0" applyFont="1" applyFill="1" applyBorder="1" applyAlignment="1">
      <alignment horizontal="center" vertical="center"/>
    </xf>
    <xf numFmtId="0" fontId="0" fillId="0" borderId="106" xfId="0" applyFont="1" applyBorder="1" applyAlignment="1">
      <alignment horizontal="center" vertical="center"/>
    </xf>
    <xf numFmtId="2" fontId="25" fillId="0" borderId="60" xfId="1" applyNumberFormat="1" applyFont="1" applyFill="1" applyBorder="1" applyAlignment="1" applyProtection="1">
      <alignment horizontal="center" vertical="center" wrapText="1"/>
      <protection locked="0"/>
    </xf>
    <xf numFmtId="0" fontId="33" fillId="0" borderId="58" xfId="0" applyFont="1" applyFill="1" applyBorder="1" applyAlignment="1">
      <alignment horizontal="center" vertical="center"/>
    </xf>
    <xf numFmtId="3" fontId="0" fillId="0" borderId="58" xfId="0" applyNumberFormat="1" applyFont="1" applyBorder="1" applyAlignment="1">
      <alignment horizontal="center"/>
    </xf>
    <xf numFmtId="167" fontId="35" fillId="0" borderId="58" xfId="2" applyNumberFormat="1" applyFont="1" applyFill="1" applyBorder="1" applyAlignment="1">
      <alignment horizontal="center" vertical="center"/>
    </xf>
    <xf numFmtId="167" fontId="30" fillId="0" borderId="58" xfId="2" applyNumberFormat="1" applyFont="1" applyFill="1" applyBorder="1" applyAlignment="1">
      <alignment horizontal="center" vertical="center"/>
    </xf>
    <xf numFmtId="3" fontId="16" fillId="0" borderId="58" xfId="0" applyNumberFormat="1" applyFont="1" applyBorder="1" applyAlignment="1">
      <alignment horizontal="center" vertical="center"/>
    </xf>
    <xf numFmtId="49" fontId="26" fillId="0" borderId="58" xfId="0" applyNumberFormat="1" applyFont="1" applyBorder="1" applyAlignment="1" applyProtection="1">
      <alignment horizontal="center" vertical="center"/>
      <protection locked="0"/>
    </xf>
    <xf numFmtId="3" fontId="26" fillId="0" borderId="58" xfId="0" applyNumberFormat="1" applyFont="1" applyFill="1" applyBorder="1" applyAlignment="1" applyProtection="1">
      <alignment horizontal="left" vertical="center" wrapText="1"/>
      <protection locked="0"/>
    </xf>
    <xf numFmtId="3" fontId="34" fillId="0" borderId="58" xfId="0" applyNumberFormat="1" applyFont="1" applyFill="1" applyBorder="1" applyAlignment="1">
      <alignment horizontal="center" vertical="center"/>
    </xf>
    <xf numFmtId="3" fontId="35" fillId="0" borderId="58" xfId="0" applyNumberFormat="1" applyFont="1" applyFill="1" applyBorder="1" applyAlignment="1">
      <alignment horizontal="center" vertical="center"/>
    </xf>
    <xf numFmtId="3" fontId="44" fillId="0" borderId="58" xfId="0" applyNumberFormat="1" applyFont="1" applyFill="1" applyBorder="1" applyAlignment="1">
      <alignment horizontal="center"/>
    </xf>
    <xf numFmtId="0" fontId="50" fillId="0" borderId="58" xfId="0" applyFont="1" applyFill="1" applyBorder="1" applyAlignment="1">
      <alignment horizontal="center"/>
    </xf>
    <xf numFmtId="0" fontId="1" fillId="0" borderId="58" xfId="0" applyFont="1" applyFill="1" applyBorder="1" applyAlignment="1">
      <alignment horizontal="center"/>
    </xf>
    <xf numFmtId="49" fontId="1" fillId="0" borderId="58" xfId="0" applyNumberFormat="1" applyFont="1" applyFill="1" applyBorder="1" applyAlignment="1" applyProtection="1">
      <alignment horizontal="center" vertical="center" wrapText="1"/>
      <protection locked="0"/>
    </xf>
    <xf numFmtId="0" fontId="26" fillId="0" borderId="58" xfId="0" applyFont="1" applyFill="1" applyBorder="1" applyAlignment="1">
      <alignment horizontal="center" vertical="center" wrapText="1"/>
    </xf>
    <xf numFmtId="2" fontId="26" fillId="0" borderId="58" xfId="0" applyNumberFormat="1" applyFont="1" applyFill="1" applyBorder="1" applyAlignment="1" applyProtection="1">
      <alignment horizontal="center" vertical="center" wrapText="1"/>
      <protection locked="0"/>
    </xf>
    <xf numFmtId="2" fontId="0" fillId="0" borderId="58" xfId="0" applyNumberFormat="1" applyFont="1" applyFill="1" applyBorder="1" applyAlignment="1">
      <alignment horizontal="center"/>
    </xf>
    <xf numFmtId="3" fontId="0" fillId="0" borderId="58" xfId="0" applyNumberFormat="1" applyFill="1" applyBorder="1" applyAlignment="1">
      <alignment horizontal="center" vertical="center"/>
    </xf>
    <xf numFmtId="2" fontId="35" fillId="0" borderId="58" xfId="2" applyNumberFormat="1" applyFont="1" applyFill="1" applyBorder="1" applyAlignment="1">
      <alignment horizontal="center" vertical="center"/>
    </xf>
    <xf numFmtId="49" fontId="44" fillId="0" borderId="58" xfId="0" applyNumberFormat="1" applyFont="1" applyFill="1" applyBorder="1" applyAlignment="1" applyProtection="1">
      <alignment horizontal="center" vertical="center"/>
      <protection locked="0"/>
    </xf>
    <xf numFmtId="0" fontId="46" fillId="0" borderId="58" xfId="0" applyFont="1" applyFill="1" applyBorder="1" applyAlignment="1" applyProtection="1">
      <alignment horizontal="center" vertical="center" wrapText="1"/>
      <protection locked="0"/>
    </xf>
    <xf numFmtId="3" fontId="44" fillId="0" borderId="58" xfId="0" applyNumberFormat="1" applyFont="1" applyFill="1" applyBorder="1" applyAlignment="1" applyProtection="1">
      <alignment horizontal="left" vertical="center" wrapText="1"/>
      <protection locked="0"/>
    </xf>
    <xf numFmtId="3" fontId="30" fillId="0" borderId="58" xfId="2" applyNumberFormat="1" applyFont="1" applyFill="1" applyBorder="1" applyAlignment="1">
      <alignment horizontal="center" vertical="center"/>
    </xf>
    <xf numFmtId="3" fontId="26" fillId="0" borderId="58" xfId="1" applyNumberFormat="1" applyFont="1" applyFill="1" applyBorder="1" applyAlignment="1" applyProtection="1">
      <alignment horizontal="center" vertical="center" wrapText="1"/>
      <protection locked="0"/>
    </xf>
    <xf numFmtId="3" fontId="16" fillId="0" borderId="58" xfId="0" applyNumberFormat="1" applyFont="1" applyFill="1" applyBorder="1" applyAlignment="1">
      <alignment horizontal="left" vertical="center" wrapText="1"/>
    </xf>
    <xf numFmtId="3" fontId="25" fillId="0" borderId="58" xfId="1" applyNumberFormat="1" applyFont="1" applyFill="1" applyBorder="1" applyAlignment="1" applyProtection="1">
      <alignment horizontal="center" vertical="center" wrapText="1"/>
      <protection locked="0"/>
    </xf>
    <xf numFmtId="3" fontId="0" fillId="0" borderId="64" xfId="0" applyNumberFormat="1" applyFont="1" applyBorder="1" applyAlignment="1">
      <alignment horizontal="center"/>
    </xf>
    <xf numFmtId="2" fontId="0" fillId="0" borderId="60" xfId="0" applyNumberFormat="1" applyFont="1" applyBorder="1" applyAlignment="1">
      <alignment horizontal="center" vertical="center"/>
    </xf>
    <xf numFmtId="0" fontId="0" fillId="0" borderId="70" xfId="0" applyFont="1" applyBorder="1" applyAlignment="1">
      <alignment horizontal="center" vertical="center"/>
    </xf>
    <xf numFmtId="0" fontId="0" fillId="0" borderId="59" xfId="0" applyFont="1" applyBorder="1" applyAlignment="1">
      <alignment horizontal="center" vertical="center"/>
    </xf>
    <xf numFmtId="0" fontId="0" fillId="0" borderId="75" xfId="0" applyFont="1" applyBorder="1" applyAlignment="1">
      <alignment horizontal="center"/>
    </xf>
    <xf numFmtId="2" fontId="0" fillId="0" borderId="106" xfId="0" applyNumberFormat="1" applyFont="1" applyBorder="1" applyAlignment="1">
      <alignment horizontal="center" vertical="center"/>
    </xf>
    <xf numFmtId="167" fontId="36" fillId="0" borderId="60" xfId="2" applyNumberFormat="1" applyFont="1" applyFill="1" applyBorder="1" applyAlignment="1">
      <alignment horizontal="left" vertical="center"/>
    </xf>
    <xf numFmtId="167" fontId="35" fillId="0" borderId="60" xfId="2" applyNumberFormat="1" applyFont="1" applyFill="1" applyBorder="1" applyAlignment="1">
      <alignment horizontal="center" vertical="center"/>
    </xf>
    <xf numFmtId="0" fontId="0" fillId="0" borderId="72" xfId="0" applyFont="1" applyBorder="1" applyAlignment="1">
      <alignment horizontal="center"/>
    </xf>
    <xf numFmtId="49" fontId="29" fillId="0" borderId="106" xfId="0" applyNumberFormat="1" applyFont="1" applyBorder="1" applyAlignment="1" applyProtection="1">
      <alignment horizontal="center" vertical="center"/>
      <protection locked="0"/>
    </xf>
    <xf numFmtId="49" fontId="29" fillId="0" borderId="60" xfId="0" applyNumberFormat="1" applyFont="1" applyBorder="1" applyAlignment="1" applyProtection="1">
      <alignment horizontal="center" vertical="center"/>
      <protection locked="0"/>
    </xf>
    <xf numFmtId="0" fontId="33" fillId="0" borderId="60" xfId="0" applyFont="1" applyBorder="1" applyAlignment="1">
      <alignment horizontal="left" vertical="center"/>
    </xf>
    <xf numFmtId="0" fontId="1" fillId="0" borderId="60" xfId="0" applyFont="1" applyBorder="1" applyAlignment="1">
      <alignment horizontal="center" vertical="center"/>
    </xf>
    <xf numFmtId="0" fontId="0" fillId="0" borderId="107" xfId="0" applyFont="1" applyBorder="1" applyAlignment="1">
      <alignment horizontal="center"/>
    </xf>
    <xf numFmtId="0" fontId="0" fillId="0" borderId="73" xfId="0" applyFont="1" applyBorder="1" applyAlignment="1">
      <alignment horizontal="center" vertical="center"/>
    </xf>
    <xf numFmtId="0" fontId="25" fillId="0" borderId="61" xfId="1" applyFont="1" applyFill="1" applyBorder="1" applyAlignment="1" applyProtection="1">
      <alignment horizontal="center" vertical="center" wrapText="1"/>
      <protection locked="0"/>
    </xf>
    <xf numFmtId="0" fontId="0" fillId="0" borderId="96" xfId="0" applyFont="1" applyBorder="1" applyAlignment="1">
      <alignment horizontal="center"/>
    </xf>
    <xf numFmtId="0" fontId="0" fillId="0" borderId="77" xfId="0" applyFont="1" applyBorder="1" applyAlignment="1">
      <alignment horizontal="center"/>
    </xf>
    <xf numFmtId="3" fontId="0" fillId="0" borderId="78" xfId="0" applyNumberFormat="1" applyFont="1" applyBorder="1" applyAlignment="1">
      <alignment horizontal="center"/>
    </xf>
    <xf numFmtId="3" fontId="22" fillId="0" borderId="59" xfId="0" applyNumberFormat="1" applyFont="1" applyFill="1" applyBorder="1" applyAlignment="1" applyProtection="1">
      <alignment horizontal="center" vertical="center" wrapText="1"/>
      <protection locked="0"/>
    </xf>
    <xf numFmtId="2" fontId="0" fillId="0" borderId="59" xfId="0" applyNumberFormat="1" applyFont="1" applyFill="1" applyBorder="1" applyAlignment="1" applyProtection="1">
      <alignment horizontal="center" vertical="center" wrapText="1"/>
      <protection locked="0"/>
    </xf>
    <xf numFmtId="2" fontId="0" fillId="0" borderId="59" xfId="1" applyNumberFormat="1" applyFont="1" applyFill="1" applyBorder="1" applyAlignment="1" applyProtection="1">
      <alignment horizontal="left" vertical="center" wrapText="1"/>
      <protection locked="0"/>
    </xf>
    <xf numFmtId="2" fontId="0" fillId="0" borderId="59" xfId="0" applyNumberFormat="1" applyFont="1" applyFill="1" applyBorder="1" applyAlignment="1">
      <alignment horizontal="center" vertical="center" wrapText="1"/>
    </xf>
    <xf numFmtId="0" fontId="0" fillId="0" borderId="47" xfId="0" applyFont="1" applyBorder="1" applyAlignment="1">
      <alignment horizontal="center"/>
    </xf>
    <xf numFmtId="0" fontId="1" fillId="0" borderId="61" xfId="0" applyFont="1" applyFill="1" applyBorder="1" applyAlignment="1">
      <alignment horizontal="center" vertical="center"/>
    </xf>
    <xf numFmtId="3" fontId="0" fillId="0" borderId="61" xfId="0" applyNumberFormat="1" applyFont="1" applyBorder="1" applyAlignment="1">
      <alignment horizontal="center" vertical="center"/>
    </xf>
    <xf numFmtId="0" fontId="0" fillId="0" borderId="59" xfId="1" applyFont="1" applyFill="1" applyBorder="1" applyAlignment="1" applyProtection="1">
      <alignment horizontal="left" vertical="center" wrapText="1"/>
      <protection locked="0"/>
    </xf>
    <xf numFmtId="0" fontId="0" fillId="0" borderId="59" xfId="0" applyFill="1" applyBorder="1" applyAlignment="1">
      <alignment horizontal="center" vertical="center" wrapText="1"/>
    </xf>
    <xf numFmtId="0" fontId="0" fillId="0" borderId="71" xfId="0" applyFont="1" applyBorder="1" applyAlignment="1">
      <alignment horizontal="center"/>
    </xf>
    <xf numFmtId="0" fontId="22" fillId="0" borderId="61" xfId="0" applyFont="1" applyFill="1" applyBorder="1" applyAlignment="1">
      <alignment horizontal="center" vertical="center"/>
    </xf>
    <xf numFmtId="0" fontId="25" fillId="0" borderId="74" xfId="1" applyFont="1" applyFill="1" applyBorder="1" applyAlignment="1" applyProtection="1">
      <alignment horizontal="center" vertical="center" wrapText="1"/>
      <protection locked="0"/>
    </xf>
    <xf numFmtId="0" fontId="1" fillId="0" borderId="73" xfId="0" applyFont="1" applyFill="1" applyBorder="1" applyAlignment="1">
      <alignment horizontal="center" vertical="center"/>
    </xf>
    <xf numFmtId="3" fontId="26" fillId="0" borderId="60" xfId="0" applyNumberFormat="1" applyFont="1" applyFill="1" applyBorder="1" applyAlignment="1" applyProtection="1">
      <alignment horizontal="left" vertical="center" wrapText="1"/>
      <protection locked="0"/>
    </xf>
    <xf numFmtId="0" fontId="24" fillId="0" borderId="59" xfId="1" applyFont="1" applyFill="1" applyBorder="1" applyAlignment="1" applyProtection="1">
      <alignment horizontal="left" vertical="center" wrapText="1"/>
      <protection locked="0"/>
    </xf>
    <xf numFmtId="0" fontId="26" fillId="0" borderId="61" xfId="0" applyFont="1" applyBorder="1" applyAlignment="1">
      <alignment horizontal="center" vertical="center"/>
    </xf>
    <xf numFmtId="0" fontId="16" fillId="0" borderId="59" xfId="1" applyFont="1" applyFill="1" applyBorder="1" applyAlignment="1" applyProtection="1">
      <alignment horizontal="left" vertical="center" wrapText="1"/>
      <protection locked="0"/>
    </xf>
    <xf numFmtId="0" fontId="16" fillId="0" borderId="59" xfId="0" applyFont="1" applyFill="1" applyBorder="1" applyAlignment="1" applyProtection="1">
      <alignment horizontal="center" vertical="center" wrapText="1"/>
      <protection locked="0"/>
    </xf>
    <xf numFmtId="0" fontId="0" fillId="0" borderId="61" xfId="0" applyFont="1" applyFill="1" applyBorder="1" applyAlignment="1">
      <alignment horizontal="center"/>
    </xf>
    <xf numFmtId="167" fontId="35" fillId="0" borderId="60" xfId="2" applyNumberFormat="1" applyFont="1" applyFill="1" applyBorder="1" applyAlignment="1">
      <alignment horizontal="left" vertical="center"/>
    </xf>
    <xf numFmtId="3" fontId="30" fillId="0" borderId="60" xfId="0" applyNumberFormat="1" applyFont="1" applyFill="1" applyBorder="1" applyAlignment="1">
      <alignment horizontal="center" vertical="center"/>
    </xf>
    <xf numFmtId="0" fontId="0" fillId="0" borderId="95" xfId="0" applyFont="1" applyBorder="1" applyAlignment="1">
      <alignment horizontal="center"/>
    </xf>
    <xf numFmtId="0" fontId="0" fillId="0" borderId="78" xfId="0" applyFont="1" applyBorder="1" applyAlignment="1">
      <alignment horizontal="center"/>
    </xf>
    <xf numFmtId="0" fontId="16" fillId="0" borderId="61" xfId="1" applyFont="1" applyFill="1" applyBorder="1" applyAlignment="1" applyProtection="1">
      <alignment horizontal="left" vertical="center" wrapText="1"/>
      <protection locked="0"/>
    </xf>
    <xf numFmtId="0" fontId="0" fillId="0" borderId="65" xfId="0" applyFont="1" applyBorder="1" applyAlignment="1">
      <alignment horizontal="center"/>
    </xf>
    <xf numFmtId="0" fontId="0" fillId="0" borderId="66" xfId="0" applyFont="1" applyBorder="1" applyAlignment="1">
      <alignment horizontal="center"/>
    </xf>
    <xf numFmtId="0" fontId="0" fillId="0" borderId="79" xfId="0" applyFont="1" applyFill="1" applyBorder="1" applyAlignment="1">
      <alignment horizontal="center"/>
    </xf>
    <xf numFmtId="0" fontId="0" fillId="0" borderId="78" xfId="0" applyFont="1" applyFill="1" applyBorder="1" applyAlignment="1">
      <alignment horizontal="center"/>
    </xf>
    <xf numFmtId="3" fontId="0" fillId="0" borderId="98" xfId="0" applyNumberFormat="1" applyFont="1" applyFill="1" applyBorder="1" applyAlignment="1">
      <alignment horizontal="center" vertical="center"/>
    </xf>
    <xf numFmtId="49" fontId="26" fillId="0" borderId="62" xfId="0" applyNumberFormat="1" applyFont="1" applyBorder="1" applyAlignment="1" applyProtection="1">
      <alignment horizontal="center" vertical="center"/>
      <protection locked="0"/>
    </xf>
    <xf numFmtId="0" fontId="25" fillId="0" borderId="62" xfId="1" applyFont="1" applyFill="1" applyBorder="1" applyAlignment="1" applyProtection="1">
      <alignment horizontal="center" vertical="center" wrapText="1"/>
      <protection locked="0"/>
    </xf>
    <xf numFmtId="3" fontId="0" fillId="0" borderId="61" xfId="0" applyNumberFormat="1" applyFill="1" applyBorder="1" applyAlignment="1" applyProtection="1">
      <alignment horizontal="justify" vertical="justify" wrapText="1"/>
      <protection locked="0"/>
    </xf>
    <xf numFmtId="0" fontId="26" fillId="0" borderId="100" xfId="1" applyFont="1" applyBorder="1" applyAlignment="1" applyProtection="1">
      <alignment horizontal="left" vertical="center" wrapText="1"/>
      <protection locked="0"/>
    </xf>
    <xf numFmtId="0" fontId="30" fillId="0" borderId="95" xfId="0" applyFont="1" applyFill="1" applyBorder="1" applyAlignment="1" applyProtection="1">
      <alignment vertical="center"/>
      <protection locked="0"/>
    </xf>
    <xf numFmtId="0" fontId="30" fillId="0" borderId="68" xfId="0" applyFont="1" applyFill="1" applyBorder="1" applyAlignment="1" applyProtection="1">
      <alignment vertical="center"/>
      <protection locked="0"/>
    </xf>
    <xf numFmtId="0" fontId="30" fillId="0" borderId="69" xfId="0" applyFont="1" applyFill="1" applyBorder="1" applyAlignment="1" applyProtection="1">
      <alignment vertical="center"/>
      <protection locked="0"/>
    </xf>
    <xf numFmtId="49" fontId="1" fillId="0" borderId="70" xfId="0" applyNumberFormat="1" applyFont="1" applyFill="1" applyBorder="1" applyAlignment="1" applyProtection="1">
      <alignment horizontal="center" vertical="center"/>
      <protection locked="0"/>
    </xf>
    <xf numFmtId="0" fontId="1" fillId="0" borderId="73" xfId="0" applyFont="1" applyFill="1" applyBorder="1" applyAlignment="1">
      <alignment horizontal="center" vertical="center"/>
    </xf>
    <xf numFmtId="0" fontId="1" fillId="0" borderId="61" xfId="0" applyFont="1" applyFill="1" applyBorder="1" applyAlignment="1">
      <alignment horizontal="center" vertical="center"/>
    </xf>
    <xf numFmtId="0" fontId="25" fillId="0" borderId="68" xfId="0" applyFont="1" applyFill="1" applyBorder="1" applyAlignment="1" applyProtection="1">
      <alignment vertical="center"/>
      <protection locked="0"/>
    </xf>
    <xf numFmtId="0" fontId="25" fillId="0" borderId="69" xfId="0" applyFont="1" applyFill="1" applyBorder="1" applyAlignment="1" applyProtection="1">
      <alignment vertical="center"/>
      <protection locked="0"/>
    </xf>
    <xf numFmtId="0" fontId="0" fillId="0" borderId="70" xfId="0" applyFont="1" applyFill="1" applyBorder="1" applyAlignment="1">
      <alignment horizontal="center"/>
    </xf>
    <xf numFmtId="0" fontId="0" fillId="0" borderId="59" xfId="0" applyFont="1" applyFill="1" applyBorder="1" applyAlignment="1">
      <alignment horizontal="center"/>
    </xf>
    <xf numFmtId="0" fontId="25" fillId="0" borderId="67" xfId="1" applyFont="1" applyFill="1" applyBorder="1" applyAlignment="1" applyProtection="1">
      <alignment horizontal="center" vertical="center" wrapText="1"/>
      <protection locked="0"/>
    </xf>
    <xf numFmtId="0" fontId="1" fillId="0" borderId="69" xfId="0" applyFont="1" applyFill="1" applyBorder="1" applyAlignment="1">
      <alignment horizontal="center" vertical="center"/>
    </xf>
    <xf numFmtId="0" fontId="26" fillId="0" borderId="59" xfId="1" applyFont="1" applyBorder="1" applyAlignment="1" applyProtection="1">
      <alignment horizontal="left" vertical="center" wrapText="1"/>
      <protection locked="0"/>
    </xf>
    <xf numFmtId="3" fontId="0" fillId="0" borderId="59" xfId="2" applyNumberFormat="1" applyFont="1" applyFill="1" applyBorder="1" applyAlignment="1">
      <alignment horizontal="center" vertical="center"/>
    </xf>
    <xf numFmtId="0" fontId="0" fillId="0" borderId="65" xfId="0" applyFont="1" applyFill="1" applyBorder="1" applyAlignment="1">
      <alignment horizontal="center"/>
    </xf>
    <xf numFmtId="0" fontId="0" fillId="0" borderId="63" xfId="0" applyFont="1" applyFill="1" applyBorder="1" applyAlignment="1">
      <alignment horizontal="center"/>
    </xf>
    <xf numFmtId="0" fontId="0" fillId="0" borderId="77" xfId="0" applyFont="1" applyFill="1" applyBorder="1" applyAlignment="1">
      <alignment horizontal="center"/>
    </xf>
    <xf numFmtId="0" fontId="0" fillId="0" borderId="75" xfId="0" applyFont="1" applyFill="1" applyBorder="1" applyAlignment="1">
      <alignment horizontal="center"/>
    </xf>
    <xf numFmtId="3" fontId="0" fillId="0" borderId="64" xfId="0" applyNumberFormat="1" applyFont="1" applyFill="1" applyBorder="1" applyAlignment="1">
      <alignment horizontal="center"/>
    </xf>
    <xf numFmtId="49" fontId="0" fillId="0" borderId="60" xfId="0" applyNumberFormat="1" applyFont="1" applyBorder="1" applyAlignment="1" applyProtection="1">
      <alignment horizontal="center" vertical="center"/>
      <protection locked="0"/>
    </xf>
    <xf numFmtId="0" fontId="26" fillId="0" borderId="60" xfId="0" applyFont="1" applyBorder="1" applyAlignment="1" applyProtection="1">
      <alignment horizontal="center" vertical="center" wrapText="1"/>
      <protection locked="0"/>
    </xf>
    <xf numFmtId="3" fontId="31" fillId="0" borderId="60" xfId="0" applyNumberFormat="1" applyFont="1" applyBorder="1" applyAlignment="1">
      <alignment horizontal="center" vertical="center"/>
    </xf>
    <xf numFmtId="49" fontId="1" fillId="0" borderId="60" xfId="0" applyNumberFormat="1" applyFont="1" applyFill="1" applyBorder="1" applyAlignment="1" applyProtection="1">
      <alignment horizontal="center" vertical="center"/>
      <protection locked="0"/>
    </xf>
    <xf numFmtId="0" fontId="25" fillId="0" borderId="60" xfId="0" applyFont="1" applyFill="1" applyBorder="1" applyAlignment="1" applyProtection="1">
      <alignment horizontal="left" vertical="center"/>
      <protection locked="0"/>
    </xf>
    <xf numFmtId="3" fontId="1" fillId="0" borderId="60" xfId="0" applyNumberFormat="1" applyFont="1" applyFill="1" applyBorder="1" applyAlignment="1" applyProtection="1">
      <alignment horizontal="left" vertical="center" wrapText="1"/>
      <protection locked="0"/>
    </xf>
    <xf numFmtId="0" fontId="31" fillId="0" borderId="59" xfId="0" applyFont="1" applyFill="1" applyBorder="1" applyAlignment="1" applyProtection="1">
      <alignment horizontal="center" vertical="center" wrapText="1"/>
      <protection locked="0"/>
    </xf>
    <xf numFmtId="49" fontId="26" fillId="0" borderId="61" xfId="0" applyNumberFormat="1" applyFont="1" applyBorder="1" applyAlignment="1" applyProtection="1">
      <alignment horizontal="center" vertical="center"/>
      <protection locked="0"/>
    </xf>
    <xf numFmtId="3" fontId="0" fillId="0" borderId="76" xfId="0" applyNumberFormat="1" applyFont="1" applyFill="1" applyBorder="1" applyAlignment="1">
      <alignment horizontal="center"/>
    </xf>
    <xf numFmtId="0" fontId="0" fillId="0" borderId="82" xfId="0" applyFont="1" applyFill="1" applyBorder="1" applyAlignment="1">
      <alignment horizontal="center"/>
    </xf>
    <xf numFmtId="0" fontId="1" fillId="0" borderId="70" xfId="1" applyFont="1" applyFill="1" applyBorder="1" applyAlignment="1" applyProtection="1">
      <alignment horizontal="center" vertical="center" wrapText="1"/>
      <protection locked="0"/>
    </xf>
    <xf numFmtId="3" fontId="26" fillId="0" borderId="60" xfId="0" applyNumberFormat="1" applyFont="1" applyBorder="1" applyAlignment="1" applyProtection="1">
      <alignment horizontal="center" vertical="center"/>
      <protection locked="0"/>
    </xf>
    <xf numFmtId="49" fontId="1" fillId="0" borderId="70" xfId="0" applyNumberFormat="1" applyFont="1" applyFill="1" applyBorder="1" applyAlignment="1" applyProtection="1">
      <alignment horizontal="center" vertical="center" wrapText="1"/>
      <protection locked="0"/>
    </xf>
    <xf numFmtId="0" fontId="1" fillId="0" borderId="70" xfId="0" applyFont="1" applyFill="1" applyBorder="1" applyAlignment="1" applyProtection="1">
      <alignment horizontal="center" vertical="center" wrapText="1"/>
      <protection locked="0"/>
    </xf>
    <xf numFmtId="0" fontId="1" fillId="0" borderId="70" xfId="0" applyFont="1" applyFill="1" applyBorder="1" applyAlignment="1">
      <alignment horizontal="center" vertical="center" wrapText="1"/>
    </xf>
    <xf numFmtId="0" fontId="31" fillId="0" borderId="70" xfId="0" applyFont="1" applyFill="1" applyBorder="1" applyAlignment="1" applyProtection="1">
      <alignment horizontal="center" vertical="center" wrapText="1"/>
      <protection locked="0"/>
    </xf>
    <xf numFmtId="0" fontId="0" fillId="0" borderId="59" xfId="0" applyFont="1" applyFill="1" applyBorder="1" applyAlignment="1" applyProtection="1">
      <alignment horizontal="center" vertical="center" wrapText="1"/>
      <protection locked="0"/>
    </xf>
    <xf numFmtId="0" fontId="0" fillId="0" borderId="65" xfId="0" applyFill="1" applyBorder="1" applyAlignment="1">
      <alignment horizontal="center" vertical="center"/>
    </xf>
    <xf numFmtId="0" fontId="0" fillId="0" borderId="75" xfId="0" applyFont="1" applyFill="1" applyBorder="1" applyAlignment="1">
      <alignment vertical="center"/>
    </xf>
    <xf numFmtId="167" fontId="0" fillId="0" borderId="59" xfId="2" applyNumberFormat="1" applyFont="1" applyFill="1" applyBorder="1" applyAlignment="1">
      <alignment horizontal="left" vertical="justify" wrapText="1"/>
    </xf>
    <xf numFmtId="167" fontId="30" fillId="0" borderId="59" xfId="2" applyNumberFormat="1" applyFont="1" applyFill="1" applyBorder="1" applyAlignment="1">
      <alignment horizontal="center" vertical="center"/>
    </xf>
    <xf numFmtId="49" fontId="0" fillId="0" borderId="75" xfId="0" applyNumberFormat="1" applyFill="1" applyBorder="1" applyAlignment="1" applyProtection="1">
      <alignment horizontal="center" vertical="center" wrapText="1"/>
      <protection locked="0"/>
    </xf>
    <xf numFmtId="49" fontId="0" fillId="0" borderId="82" xfId="0" applyNumberFormat="1" applyFill="1" applyBorder="1" applyAlignment="1" applyProtection="1">
      <alignment horizontal="center" vertical="center"/>
      <protection locked="0"/>
    </xf>
    <xf numFmtId="49" fontId="0" fillId="9" borderId="59" xfId="0" applyNumberFormat="1" applyFill="1" applyBorder="1" applyAlignment="1" applyProtection="1">
      <alignment vertical="center"/>
      <protection locked="0"/>
    </xf>
    <xf numFmtId="3" fontId="0" fillId="9" borderId="59" xfId="0" applyNumberFormat="1" applyFill="1" applyBorder="1" applyAlignment="1" applyProtection="1">
      <alignment horizontal="center" vertical="center"/>
      <protection locked="0"/>
    </xf>
    <xf numFmtId="0" fontId="26" fillId="9" borderId="59" xfId="0" applyFont="1" applyFill="1" applyBorder="1" applyAlignment="1" applyProtection="1">
      <alignment horizontal="center" vertical="center" wrapText="1"/>
      <protection locked="0"/>
    </xf>
    <xf numFmtId="3" fontId="0" fillId="9" borderId="59" xfId="0" applyNumberFormat="1" applyFont="1" applyFill="1" applyBorder="1" applyAlignment="1" applyProtection="1">
      <alignment horizontal="left" vertical="center" wrapText="1"/>
      <protection locked="0"/>
    </xf>
    <xf numFmtId="3" fontId="0" fillId="9" borderId="59" xfId="0" applyNumberFormat="1" applyFill="1" applyBorder="1" applyAlignment="1" applyProtection="1">
      <alignment horizontal="center" vertical="center" wrapText="1"/>
      <protection locked="0"/>
    </xf>
    <xf numFmtId="3" fontId="0" fillId="0" borderId="70" xfId="0" applyNumberFormat="1" applyFont="1" applyFill="1" applyBorder="1" applyAlignment="1">
      <alignment horizontal="center"/>
    </xf>
    <xf numFmtId="0" fontId="25" fillId="0" borderId="61" xfId="0" applyFont="1" applyFill="1" applyBorder="1" applyAlignment="1" applyProtection="1">
      <alignment horizontal="left" vertical="center" wrapText="1"/>
      <protection locked="0"/>
    </xf>
    <xf numFmtId="0" fontId="25" fillId="0" borderId="74" xfId="0" applyFont="1" applyFill="1" applyBorder="1" applyAlignment="1" applyProtection="1">
      <alignment horizontal="left" vertical="center" wrapText="1"/>
      <protection locked="0"/>
    </xf>
    <xf numFmtId="3" fontId="0" fillId="0" borderId="73" xfId="0" applyNumberFormat="1" applyFont="1" applyFill="1" applyBorder="1" applyAlignment="1">
      <alignment horizontal="center" vertical="center"/>
    </xf>
    <xf numFmtId="3" fontId="1" fillId="0" borderId="61" xfId="0" applyNumberFormat="1" applyFont="1" applyFill="1" applyBorder="1" applyAlignment="1">
      <alignment horizontal="center" vertical="center"/>
    </xf>
    <xf numFmtId="3" fontId="31" fillId="0" borderId="61" xfId="0" applyNumberFormat="1" applyFont="1" applyFill="1" applyBorder="1" applyAlignment="1">
      <alignment horizontal="center" vertical="center"/>
    </xf>
    <xf numFmtId="3" fontId="0" fillId="0" borderId="63" xfId="0" applyNumberFormat="1" applyFont="1" applyFill="1" applyBorder="1" applyAlignment="1">
      <alignment horizontal="center"/>
    </xf>
    <xf numFmtId="3" fontId="0" fillId="0" borderId="78" xfId="0" applyNumberFormat="1" applyFont="1" applyFill="1" applyBorder="1" applyAlignment="1">
      <alignment horizontal="center"/>
    </xf>
    <xf numFmtId="3" fontId="0" fillId="0" borderId="79" xfId="0" applyNumberFormat="1" applyFont="1" applyFill="1" applyBorder="1" applyAlignment="1">
      <alignment horizontal="center"/>
    </xf>
    <xf numFmtId="0" fontId="0" fillId="0" borderId="62" xfId="0" applyFont="1" applyFill="1" applyBorder="1" applyAlignment="1">
      <alignment horizontal="center"/>
    </xf>
    <xf numFmtId="1" fontId="0" fillId="0" borderId="59" xfId="0" applyNumberFormat="1" applyFont="1" applyFill="1" applyBorder="1" applyAlignment="1">
      <alignment horizontal="center" vertical="center"/>
    </xf>
    <xf numFmtId="2" fontId="0" fillId="0" borderId="59" xfId="0" applyNumberFormat="1" applyFill="1" applyBorder="1" applyAlignment="1">
      <alignment horizontal="center" vertical="center"/>
    </xf>
    <xf numFmtId="0" fontId="0" fillId="0" borderId="64" xfId="0" applyFont="1" applyFill="1" applyBorder="1" applyAlignment="1">
      <alignment horizontal="center"/>
    </xf>
    <xf numFmtId="3" fontId="16" fillId="0" borderId="59" xfId="0" applyNumberFormat="1" applyFont="1" applyFill="1" applyBorder="1" applyAlignment="1">
      <alignment horizontal="center" vertical="center"/>
    </xf>
    <xf numFmtId="0" fontId="0" fillId="0" borderId="82" xfId="0" applyFill="1" applyBorder="1" applyAlignment="1">
      <alignment horizontal="center" vertical="center"/>
    </xf>
    <xf numFmtId="0" fontId="33" fillId="0" borderId="60" xfId="0" applyFont="1" applyBorder="1" applyAlignment="1">
      <alignment horizontal="center"/>
    </xf>
    <xf numFmtId="2" fontId="29" fillId="0" borderId="59" xfId="0" applyNumberFormat="1" applyFont="1" applyFill="1" applyBorder="1" applyAlignment="1" applyProtection="1">
      <alignment horizontal="center" vertical="center" wrapText="1"/>
      <protection locked="0"/>
    </xf>
    <xf numFmtId="0" fontId="33" fillId="0" borderId="65" xfId="0" applyFont="1" applyBorder="1" applyAlignment="1">
      <alignment horizontal="center"/>
    </xf>
    <xf numFmtId="0" fontId="33" fillId="0" borderId="61" xfId="0" applyFont="1" applyBorder="1" applyAlignment="1">
      <alignment horizontal="center"/>
    </xf>
    <xf numFmtId="0" fontId="33" fillId="0" borderId="63" xfId="0" applyFont="1" applyBorder="1" applyAlignment="1">
      <alignment horizontal="center"/>
    </xf>
    <xf numFmtId="0" fontId="33" fillId="0" borderId="77" xfId="0" applyFont="1" applyBorder="1" applyAlignment="1">
      <alignment horizontal="center"/>
    </xf>
    <xf numFmtId="0" fontId="33" fillId="0" borderId="78" xfId="0" applyFont="1" applyBorder="1" applyAlignment="1">
      <alignment horizontal="center"/>
    </xf>
    <xf numFmtId="167" fontId="1" fillId="0" borderId="60" xfId="2" applyNumberFormat="1" applyFont="1" applyFill="1" applyBorder="1" applyAlignment="1">
      <alignment horizontal="center" vertical="center"/>
    </xf>
    <xf numFmtId="0" fontId="0" fillId="0" borderId="60" xfId="0" applyFill="1" applyBorder="1" applyAlignment="1">
      <alignment horizontal="center" vertical="center"/>
    </xf>
    <xf numFmtId="3" fontId="22" fillId="0" borderId="61" xfId="0" applyNumberFormat="1" applyFont="1" applyFill="1" applyBorder="1" applyAlignment="1">
      <alignment horizontal="center" vertical="center"/>
    </xf>
    <xf numFmtId="3" fontId="0" fillId="0" borderId="61" xfId="0" applyNumberFormat="1" applyFont="1" applyBorder="1" applyAlignment="1">
      <alignment horizontal="center"/>
    </xf>
    <xf numFmtId="3" fontId="0" fillId="0" borderId="59" xfId="0" applyNumberFormat="1" applyFont="1" applyBorder="1" applyAlignment="1">
      <alignment horizontal="center"/>
    </xf>
    <xf numFmtId="0" fontId="0" fillId="0" borderId="82" xfId="0" applyFont="1" applyBorder="1" applyAlignment="1">
      <alignment horizontal="center"/>
    </xf>
    <xf numFmtId="3" fontId="0" fillId="0" borderId="79" xfId="0" applyNumberFormat="1" applyFont="1" applyBorder="1" applyAlignment="1">
      <alignment horizontal="center"/>
    </xf>
    <xf numFmtId="0" fontId="47" fillId="0" borderId="70" xfId="0" applyFont="1" applyFill="1" applyBorder="1" applyAlignment="1">
      <alignment horizontal="center" vertical="center"/>
    </xf>
    <xf numFmtId="3" fontId="26" fillId="0" borderId="59" xfId="1" applyNumberFormat="1" applyFont="1" applyFill="1" applyBorder="1" applyAlignment="1" applyProtection="1">
      <alignment horizontal="center" vertical="center" wrapText="1"/>
      <protection locked="0"/>
    </xf>
    <xf numFmtId="3" fontId="16" fillId="0" borderId="59" xfId="0" applyNumberFormat="1" applyFont="1" applyFill="1" applyBorder="1" applyAlignment="1">
      <alignment horizontal="left" vertical="center" wrapText="1"/>
    </xf>
    <xf numFmtId="3" fontId="25" fillId="0" borderId="60" xfId="1" applyNumberFormat="1" applyFont="1" applyFill="1" applyBorder="1" applyAlignment="1" applyProtection="1">
      <alignment horizontal="center" vertical="center" wrapText="1"/>
      <protection locked="0"/>
    </xf>
    <xf numFmtId="3" fontId="16" fillId="0" borderId="60" xfId="0" applyNumberFormat="1" applyFont="1" applyFill="1" applyBorder="1" applyAlignment="1">
      <alignment horizontal="center" vertical="center"/>
    </xf>
    <xf numFmtId="3" fontId="16" fillId="0" borderId="60" xfId="0" applyNumberFormat="1" applyFont="1" applyBorder="1" applyAlignment="1">
      <alignment horizontal="center" vertical="center"/>
    </xf>
    <xf numFmtId="3" fontId="0" fillId="0" borderId="59" xfId="0" applyNumberFormat="1" applyFill="1" applyBorder="1" applyAlignment="1" applyProtection="1">
      <alignment horizontal="justify" vertical="justify"/>
      <protection locked="0"/>
    </xf>
    <xf numFmtId="3" fontId="22" fillId="0" borderId="62" xfId="0" applyNumberFormat="1" applyFont="1" applyFill="1" applyBorder="1" applyAlignment="1">
      <alignment horizontal="center" vertical="center"/>
    </xf>
    <xf numFmtId="0" fontId="31" fillId="0" borderId="73" xfId="0" applyFont="1" applyFill="1" applyBorder="1" applyAlignment="1">
      <alignment horizontal="center" vertical="center"/>
    </xf>
    <xf numFmtId="0" fontId="31" fillId="0" borderId="61" xfId="0" applyFont="1" applyFill="1" applyBorder="1" applyAlignment="1">
      <alignment horizontal="center" vertical="center"/>
    </xf>
    <xf numFmtId="3" fontId="22" fillId="0" borderId="61" xfId="0" applyNumberFormat="1" applyFont="1" applyBorder="1" applyAlignment="1">
      <alignment horizontal="center" vertical="center"/>
    </xf>
    <xf numFmtId="3" fontId="30" fillId="0" borderId="60" xfId="2" applyNumberFormat="1" applyFont="1" applyFill="1" applyBorder="1" applyAlignment="1">
      <alignment horizontal="center" vertical="center"/>
    </xf>
    <xf numFmtId="3" fontId="1" fillId="0" borderId="70" xfId="0" applyNumberFormat="1" applyFont="1" applyFill="1" applyBorder="1" applyAlignment="1" applyProtection="1">
      <alignment horizontal="center" vertical="center"/>
      <protection locked="0"/>
    </xf>
    <xf numFmtId="0" fontId="22" fillId="0" borderId="59" xfId="0" applyFont="1" applyBorder="1" applyAlignment="1">
      <alignment horizontal="center" vertical="center"/>
    </xf>
    <xf numFmtId="0" fontId="0" fillId="0" borderId="70" xfId="0" applyFont="1" applyBorder="1" applyAlignment="1">
      <alignment horizontal="left" wrapText="1"/>
    </xf>
    <xf numFmtId="3" fontId="0" fillId="0" borderId="70" xfId="0" applyNumberFormat="1" applyFont="1" applyBorder="1" applyAlignment="1">
      <alignment horizontal="center"/>
    </xf>
    <xf numFmtId="0" fontId="0" fillId="0" borderId="60" xfId="0" applyFont="1" applyBorder="1" applyAlignment="1">
      <alignment horizontal="left" wrapText="1"/>
    </xf>
    <xf numFmtId="3" fontId="0" fillId="0" borderId="60" xfId="0" applyNumberFormat="1" applyFont="1" applyBorder="1" applyAlignment="1">
      <alignment horizontal="center"/>
    </xf>
    <xf numFmtId="3" fontId="0" fillId="0" borderId="63" xfId="0" applyNumberFormat="1" applyFont="1" applyBorder="1" applyAlignment="1">
      <alignment horizontal="center"/>
    </xf>
    <xf numFmtId="0" fontId="34" fillId="0" borderId="61" xfId="0" applyFont="1" applyFill="1" applyBorder="1" applyAlignment="1">
      <alignment horizontal="center" vertical="center"/>
    </xf>
    <xf numFmtId="3" fontId="30" fillId="0" borderId="61" xfId="0" applyNumberFormat="1" applyFont="1" applyFill="1" applyBorder="1" applyAlignment="1">
      <alignment horizontal="center" vertical="center"/>
    </xf>
    <xf numFmtId="3" fontId="0" fillId="0" borderId="61" xfId="0" applyNumberFormat="1" applyFont="1" applyFill="1" applyBorder="1" applyAlignment="1">
      <alignment horizontal="center"/>
    </xf>
    <xf numFmtId="0" fontId="34" fillId="0" borderId="62" xfId="0" applyFont="1" applyFill="1" applyBorder="1" applyAlignment="1">
      <alignment horizontal="center" vertical="center"/>
    </xf>
    <xf numFmtId="0" fontId="0" fillId="0" borderId="79" xfId="0" applyBorder="1" applyAlignment="1">
      <alignment horizontal="left" vertical="top" wrapText="1"/>
    </xf>
    <xf numFmtId="0" fontId="0" fillId="0" borderId="81" xfId="0" applyFill="1" applyBorder="1" applyAlignment="1">
      <alignment horizontal="left" vertical="top" wrapText="1"/>
    </xf>
    <xf numFmtId="0" fontId="0" fillId="0" borderId="79" xfId="0" applyFill="1" applyBorder="1" applyAlignment="1">
      <alignment horizontal="left" vertical="center" wrapText="1"/>
    </xf>
    <xf numFmtId="0" fontId="16" fillId="0" borderId="58" xfId="0" applyFont="1" applyFill="1" applyBorder="1" applyAlignment="1">
      <alignment horizontal="center" vertical="center" wrapText="1"/>
    </xf>
    <xf numFmtId="0" fontId="0" fillId="0" borderId="76" xfId="0" applyFont="1" applyFill="1" applyBorder="1" applyAlignment="1">
      <alignment vertical="top"/>
    </xf>
    <xf numFmtId="0" fontId="0" fillId="0" borderId="79" xfId="0" applyFill="1" applyBorder="1" applyAlignment="1">
      <alignment horizontal="left" vertical="top" wrapText="1"/>
    </xf>
    <xf numFmtId="0" fontId="0" fillId="0" borderId="76" xfId="0" applyFill="1" applyBorder="1" applyAlignment="1">
      <alignment horizontal="left" vertical="top" wrapText="1"/>
    </xf>
    <xf numFmtId="0" fontId="0" fillId="0" borderId="79" xfId="0" applyFont="1" applyFill="1" applyBorder="1" applyAlignment="1">
      <alignment vertical="top" wrapText="1"/>
    </xf>
    <xf numFmtId="0" fontId="0" fillId="0" borderId="63" xfId="0" applyFill="1" applyBorder="1" applyAlignment="1">
      <alignment vertical="top" wrapText="1"/>
    </xf>
    <xf numFmtId="0" fontId="0" fillId="0" borderId="76" xfId="0" applyFont="1" applyFill="1" applyBorder="1" applyAlignment="1">
      <alignment vertical="top" wrapText="1"/>
    </xf>
    <xf numFmtId="0" fontId="0" fillId="0" borderId="63" xfId="0" applyBorder="1" applyAlignment="1">
      <alignment vertical="top" wrapText="1"/>
    </xf>
    <xf numFmtId="0" fontId="0" fillId="0" borderId="76" xfId="0" applyBorder="1" applyAlignment="1">
      <alignment vertical="top" wrapText="1"/>
    </xf>
    <xf numFmtId="0" fontId="0" fillId="0" borderId="76" xfId="0" applyFont="1" applyBorder="1" applyAlignment="1">
      <alignment vertical="top" wrapText="1"/>
    </xf>
    <xf numFmtId="0" fontId="0" fillId="0" borderId="76" xfId="0" applyFont="1" applyBorder="1" applyAlignment="1">
      <alignment vertical="center" wrapText="1"/>
    </xf>
    <xf numFmtId="0" fontId="0" fillId="0" borderId="76" xfId="0" applyBorder="1" applyAlignment="1">
      <alignment vertical="center" wrapText="1"/>
    </xf>
    <xf numFmtId="0" fontId="0" fillId="0" borderId="76" xfId="0" applyBorder="1" applyAlignment="1">
      <alignment horizontal="left" vertical="center" wrapText="1"/>
    </xf>
    <xf numFmtId="0" fontId="0" fillId="0" borderId="103" xfId="0" applyFont="1" applyFill="1" applyBorder="1" applyAlignment="1">
      <alignment vertical="top" wrapText="1"/>
    </xf>
    <xf numFmtId="3" fontId="0" fillId="0" borderId="58" xfId="0" applyNumberFormat="1" applyFill="1" applyBorder="1" applyAlignment="1" applyProtection="1">
      <alignment horizontal="justify" vertical="center" wrapText="1"/>
      <protection locked="0"/>
    </xf>
    <xf numFmtId="3" fontId="0" fillId="0" borderId="58" xfId="0" applyNumberFormat="1" applyFill="1" applyBorder="1" applyAlignment="1" applyProtection="1">
      <alignment vertical="center" wrapText="1"/>
      <protection locked="0"/>
    </xf>
    <xf numFmtId="0" fontId="0" fillId="0" borderId="79" xfId="0" applyBorder="1" applyAlignment="1">
      <alignment horizontal="left" vertical="center" wrapText="1"/>
    </xf>
    <xf numFmtId="0" fontId="0" fillId="0" borderId="76" xfId="0" applyBorder="1" applyAlignment="1">
      <alignment horizontal="left" vertical="center" wrapText="1"/>
    </xf>
    <xf numFmtId="3" fontId="0" fillId="0" borderId="79" xfId="0" applyNumberFormat="1" applyFont="1" applyBorder="1" applyAlignment="1">
      <alignment vertical="center" wrapText="1"/>
    </xf>
    <xf numFmtId="3" fontId="0" fillId="0" borderId="76" xfId="0" applyNumberFormat="1" applyBorder="1" applyAlignment="1">
      <alignment vertical="center" wrapText="1"/>
    </xf>
    <xf numFmtId="3" fontId="0" fillId="0" borderId="76" xfId="0" applyNumberFormat="1" applyFont="1" applyBorder="1" applyAlignment="1">
      <alignment vertical="center" wrapText="1"/>
    </xf>
    <xf numFmtId="0" fontId="0" fillId="0" borderId="60" xfId="0" applyBorder="1" applyAlignment="1">
      <alignment horizontal="left" vertical="center" wrapText="1"/>
    </xf>
    <xf numFmtId="3" fontId="0" fillId="0" borderId="78" xfId="0" applyNumberFormat="1" applyBorder="1" applyAlignment="1">
      <alignment vertical="center" wrapText="1"/>
    </xf>
    <xf numFmtId="0" fontId="0" fillId="0" borderId="63" xfId="0" applyBorder="1" applyAlignment="1">
      <alignment horizontal="left" vertical="center" wrapText="1"/>
    </xf>
    <xf numFmtId="3" fontId="0" fillId="0" borderId="58" xfId="0" applyNumberFormat="1" applyFill="1" applyBorder="1" applyAlignment="1">
      <alignment horizontal="center" vertical="center" wrapText="1"/>
    </xf>
    <xf numFmtId="0" fontId="0" fillId="0" borderId="79" xfId="0" applyBorder="1" applyAlignment="1">
      <alignment horizontal="left" vertical="center" wrapText="1"/>
    </xf>
    <xf numFmtId="49" fontId="0" fillId="0" borderId="59" xfId="0" applyNumberFormat="1" applyFill="1" applyBorder="1" applyAlignment="1" applyProtection="1">
      <alignment horizontal="center" vertical="center" wrapText="1"/>
      <protection locked="0"/>
    </xf>
    <xf numFmtId="49" fontId="0" fillId="0" borderId="58" xfId="0" applyNumberFormat="1" applyFill="1" applyBorder="1" applyAlignment="1" applyProtection="1">
      <alignment horizontal="center" vertical="center" wrapText="1"/>
      <protection locked="0"/>
    </xf>
    <xf numFmtId="49" fontId="0" fillId="0" borderId="58" xfId="0" applyNumberFormat="1" applyFont="1" applyFill="1" applyBorder="1" applyAlignment="1" applyProtection="1">
      <alignment horizontal="center" vertical="center" wrapText="1"/>
      <protection locked="0"/>
    </xf>
    <xf numFmtId="0" fontId="26" fillId="0" borderId="59" xfId="0" applyFont="1" applyFill="1" applyBorder="1" applyAlignment="1" applyProtection="1">
      <alignment horizontal="center" vertical="center" wrapText="1"/>
      <protection locked="0"/>
    </xf>
    <xf numFmtId="0" fontId="26" fillId="0" borderId="58" xfId="0" applyFont="1" applyFill="1" applyBorder="1" applyAlignment="1" applyProtection="1">
      <alignment horizontal="center" vertical="center" wrapText="1"/>
      <protection locked="0"/>
    </xf>
    <xf numFmtId="49" fontId="0" fillId="0" borderId="59" xfId="0" applyNumberFormat="1" applyFont="1" applyFill="1" applyBorder="1" applyAlignment="1" applyProtection="1">
      <alignment horizontal="center" vertical="center" wrapText="1"/>
      <protection locked="0"/>
    </xf>
    <xf numFmtId="0" fontId="0" fillId="0" borderId="76" xfId="0" applyFill="1" applyBorder="1" applyAlignment="1">
      <alignment vertical="center" wrapText="1"/>
    </xf>
    <xf numFmtId="0" fontId="0" fillId="0" borderId="76" xfId="0" applyFill="1" applyBorder="1" applyAlignment="1">
      <alignment horizontal="left" vertical="center"/>
    </xf>
    <xf numFmtId="3" fontId="0" fillId="0" borderId="76" xfId="0" applyNumberFormat="1" applyFill="1" applyBorder="1" applyAlignment="1">
      <alignment horizontal="left" vertical="center"/>
    </xf>
    <xf numFmtId="2" fontId="0" fillId="0" borderId="59" xfId="0" applyNumberFormat="1" applyFill="1" applyBorder="1" applyAlignment="1" applyProtection="1">
      <alignment horizontal="left" vertical="center" wrapText="1"/>
      <protection locked="0"/>
    </xf>
    <xf numFmtId="0" fontId="0" fillId="0" borderId="63" xfId="0" applyFill="1" applyBorder="1" applyAlignment="1">
      <alignment horizontal="left" vertical="center" wrapText="1"/>
    </xf>
    <xf numFmtId="0" fontId="0" fillId="0" borderId="76" xfId="0" applyFont="1" applyFill="1" applyBorder="1" applyAlignment="1">
      <alignment horizontal="left" vertical="center"/>
    </xf>
    <xf numFmtId="0" fontId="0" fillId="0" borderId="79" xfId="0" applyFill="1" applyBorder="1" applyAlignment="1">
      <alignment horizontal="left" vertical="center"/>
    </xf>
    <xf numFmtId="0" fontId="0" fillId="0" borderId="76" xfId="0" applyFont="1" applyFill="1" applyBorder="1" applyAlignment="1">
      <alignment vertical="center" wrapText="1"/>
    </xf>
    <xf numFmtId="0" fontId="0" fillId="0" borderId="81" xfId="0" applyFill="1" applyBorder="1" applyAlignment="1">
      <alignment horizontal="left" vertical="center" wrapText="1"/>
    </xf>
    <xf numFmtId="3" fontId="0" fillId="0" borderId="59" xfId="0" applyNumberFormat="1" applyFill="1" applyBorder="1" applyAlignment="1" applyProtection="1">
      <alignment vertical="center" wrapText="1"/>
      <protection locked="0"/>
    </xf>
    <xf numFmtId="0" fontId="26" fillId="0" borderId="58" xfId="0" applyFont="1" applyFill="1" applyBorder="1" applyAlignment="1" applyProtection="1">
      <alignment horizontal="center" vertical="center" wrapText="1"/>
      <protection locked="0"/>
    </xf>
    <xf numFmtId="3" fontId="0" fillId="0" borderId="60" xfId="0" applyNumberFormat="1" applyFont="1" applyBorder="1" applyAlignment="1">
      <alignment horizontal="center" vertical="center"/>
    </xf>
    <xf numFmtId="49" fontId="0" fillId="0" borderId="59" xfId="0" applyNumberFormat="1" applyFont="1" applyFill="1" applyBorder="1" applyAlignment="1" applyProtection="1">
      <alignment horizontal="center" vertical="center" wrapText="1"/>
      <protection locked="0"/>
    </xf>
    <xf numFmtId="3" fontId="0" fillId="0" borderId="0" xfId="0" applyNumberFormat="1" applyAlignment="1">
      <alignment horizontal="center"/>
    </xf>
    <xf numFmtId="49" fontId="0" fillId="0" borderId="58" xfId="0" applyNumberFormat="1" applyFill="1" applyBorder="1" applyAlignment="1" applyProtection="1">
      <alignment horizontal="center" vertical="center" wrapText="1"/>
      <protection locked="0"/>
    </xf>
    <xf numFmtId="3" fontId="0" fillId="0" borderId="58" xfId="0" applyNumberFormat="1" applyFill="1" applyBorder="1" applyAlignment="1" applyProtection="1">
      <alignment horizontal="center" vertical="center"/>
      <protection locked="0"/>
    </xf>
    <xf numFmtId="0" fontId="26" fillId="0" borderId="59" xfId="0" applyFont="1" applyFill="1" applyBorder="1" applyAlignment="1" applyProtection="1">
      <alignment horizontal="center" vertical="center" wrapText="1"/>
      <protection locked="0"/>
    </xf>
    <xf numFmtId="0" fontId="26" fillId="0" borderId="58" xfId="0" applyFont="1" applyFill="1" applyBorder="1" applyAlignment="1" applyProtection="1">
      <alignment horizontal="center" vertical="center" wrapText="1"/>
      <protection locked="0"/>
    </xf>
    <xf numFmtId="3" fontId="0" fillId="0" borderId="59" xfId="0" applyNumberFormat="1" applyFont="1" applyFill="1" applyBorder="1" applyAlignment="1">
      <alignment horizontal="center" vertical="center"/>
    </xf>
    <xf numFmtId="3" fontId="0" fillId="0" borderId="58" xfId="0" applyNumberFormat="1" applyFont="1" applyFill="1" applyBorder="1" applyAlignment="1">
      <alignment horizontal="center" vertical="center"/>
    </xf>
    <xf numFmtId="3" fontId="0" fillId="0" borderId="58" xfId="0" applyNumberFormat="1" applyFont="1" applyFill="1" applyBorder="1" applyAlignment="1" applyProtection="1">
      <alignment horizontal="center" vertical="center" wrapText="1"/>
      <protection locked="0"/>
    </xf>
    <xf numFmtId="0" fontId="29" fillId="0" borderId="58" xfId="0" applyNumberFormat="1" applyFont="1" applyFill="1" applyBorder="1" applyAlignment="1" applyProtection="1">
      <alignment horizontal="center" vertical="center" wrapText="1"/>
      <protection locked="0"/>
    </xf>
    <xf numFmtId="3" fontId="0" fillId="0" borderId="59" xfId="0" applyNumberFormat="1" applyFont="1" applyFill="1" applyBorder="1" applyAlignment="1">
      <alignment horizontal="center" vertical="center"/>
    </xf>
    <xf numFmtId="3" fontId="0" fillId="0" borderId="58" xfId="0" applyNumberFormat="1" applyFont="1" applyFill="1" applyBorder="1" applyAlignment="1">
      <alignment horizontal="center" vertical="center"/>
    </xf>
    <xf numFmtId="0" fontId="31" fillId="13" borderId="60" xfId="0" applyFont="1" applyFill="1" applyBorder="1" applyAlignment="1" applyProtection="1">
      <alignment horizontal="center" vertical="center" wrapText="1"/>
      <protection locked="0"/>
    </xf>
    <xf numFmtId="0" fontId="47" fillId="13" borderId="60" xfId="0" applyFont="1" applyFill="1" applyBorder="1" applyAlignment="1" applyProtection="1">
      <alignment horizontal="center" vertical="center" wrapText="1"/>
      <protection locked="0"/>
    </xf>
    <xf numFmtId="3" fontId="0" fillId="0" borderId="61" xfId="0" applyNumberFormat="1" applyFill="1" applyBorder="1" applyAlignment="1">
      <alignment horizontal="center" vertical="center"/>
    </xf>
    <xf numFmtId="3" fontId="0" fillId="0" borderId="61" xfId="0" applyNumberFormat="1" applyFill="1" applyBorder="1" applyAlignment="1" applyProtection="1">
      <alignment horizontal="center" vertical="center" wrapText="1"/>
      <protection locked="0"/>
    </xf>
    <xf numFmtId="3" fontId="0" fillId="0" borderId="58" xfId="0" applyNumberFormat="1" applyFill="1" applyBorder="1" applyAlignment="1" applyProtection="1">
      <alignment horizontal="center" vertical="center" wrapText="1"/>
      <protection locked="0"/>
    </xf>
    <xf numFmtId="3" fontId="0" fillId="0" borderId="58" xfId="0" applyNumberFormat="1" applyFill="1" applyBorder="1" applyAlignment="1" applyProtection="1">
      <alignment horizontal="center" vertical="center"/>
      <protection locked="0"/>
    </xf>
    <xf numFmtId="49" fontId="0" fillId="0" borderId="61" xfId="0" applyNumberFormat="1" applyFill="1" applyBorder="1" applyAlignment="1" applyProtection="1">
      <alignment horizontal="center" vertical="center" wrapText="1"/>
      <protection locked="0"/>
    </xf>
    <xf numFmtId="49" fontId="0" fillId="0" borderId="58" xfId="0" applyNumberFormat="1" applyFill="1" applyBorder="1" applyAlignment="1" applyProtection="1">
      <alignment horizontal="center" vertical="center" wrapText="1"/>
      <protection locked="0"/>
    </xf>
    <xf numFmtId="3" fontId="0" fillId="0" borderId="58" xfId="0" applyNumberFormat="1" applyFont="1" applyFill="1" applyBorder="1" applyAlignment="1">
      <alignment horizontal="center" vertical="center" wrapText="1"/>
    </xf>
    <xf numFmtId="0" fontId="26" fillId="0" borderId="58" xfId="0" applyFont="1" applyFill="1" applyBorder="1" applyAlignment="1" applyProtection="1">
      <alignment horizontal="center" vertical="center" wrapText="1"/>
      <protection locked="0"/>
    </xf>
    <xf numFmtId="0" fontId="0" fillId="0" borderId="76" xfId="0" applyBorder="1" applyAlignment="1">
      <alignment horizontal="left" vertical="center" wrapText="1"/>
    </xf>
    <xf numFmtId="3" fontId="0" fillId="0" borderId="58" xfId="0" applyNumberFormat="1" applyFont="1" applyFill="1" applyBorder="1" applyAlignment="1" applyProtection="1">
      <alignment horizontal="center" vertical="center"/>
      <protection locked="0"/>
    </xf>
    <xf numFmtId="0" fontId="47" fillId="13" borderId="61" xfId="0" applyFont="1" applyFill="1" applyBorder="1" applyAlignment="1" applyProtection="1">
      <alignment horizontal="center" vertical="center" wrapText="1"/>
      <protection locked="0"/>
    </xf>
    <xf numFmtId="0" fontId="47" fillId="13" borderId="62" xfId="0" applyFont="1" applyFill="1" applyBorder="1" applyAlignment="1" applyProtection="1">
      <alignment horizontal="center" vertical="center" wrapText="1"/>
      <protection locked="0"/>
    </xf>
    <xf numFmtId="49" fontId="0" fillId="0" borderId="58" xfId="0" applyNumberFormat="1" applyFont="1" applyFill="1" applyBorder="1" applyAlignment="1" applyProtection="1">
      <alignment horizontal="center" vertical="center"/>
      <protection locked="0"/>
    </xf>
    <xf numFmtId="49" fontId="0" fillId="0" borderId="58" xfId="0" applyNumberFormat="1" applyFill="1" applyBorder="1" applyAlignment="1" applyProtection="1">
      <alignment horizontal="center" vertical="center"/>
      <protection locked="0"/>
    </xf>
    <xf numFmtId="3" fontId="0" fillId="0" borderId="59" xfId="0" applyNumberFormat="1" applyFont="1" applyFill="1" applyBorder="1" applyAlignment="1">
      <alignment horizontal="center" vertical="center"/>
    </xf>
    <xf numFmtId="3" fontId="0" fillId="0" borderId="58" xfId="0" applyNumberFormat="1" applyFont="1" applyFill="1" applyBorder="1" applyAlignment="1">
      <alignment horizontal="center" vertical="center"/>
    </xf>
    <xf numFmtId="3" fontId="0" fillId="0" borderId="58" xfId="0" applyNumberFormat="1" applyFont="1" applyBorder="1" applyAlignment="1">
      <alignment horizontal="center" vertical="center"/>
    </xf>
    <xf numFmtId="3" fontId="16" fillId="0" borderId="58" xfId="0" applyNumberFormat="1" applyFont="1" applyFill="1" applyBorder="1" applyAlignment="1" applyProtection="1">
      <alignment horizontal="center" vertical="center" wrapText="1"/>
      <protection locked="0"/>
    </xf>
    <xf numFmtId="3" fontId="0" fillId="0" borderId="58" xfId="0" applyNumberFormat="1" applyFont="1" applyFill="1" applyBorder="1" applyAlignment="1" applyProtection="1">
      <alignment horizontal="center" vertical="center" wrapText="1"/>
      <protection locked="0"/>
    </xf>
    <xf numFmtId="0" fontId="0" fillId="0" borderId="79" xfId="0" applyBorder="1" applyAlignment="1">
      <alignment horizontal="left" vertical="center" wrapText="1"/>
    </xf>
    <xf numFmtId="2" fontId="29" fillId="0" borderId="58" xfId="0" applyNumberFormat="1" applyFont="1" applyFill="1" applyBorder="1" applyAlignment="1" applyProtection="1">
      <alignment horizontal="center" vertical="center" wrapText="1"/>
      <protection locked="0"/>
    </xf>
    <xf numFmtId="0" fontId="29" fillId="0" borderId="59" xfId="0" applyNumberFormat="1" applyFont="1" applyFill="1" applyBorder="1" applyAlignment="1" applyProtection="1">
      <alignment horizontal="center" vertical="center" wrapText="1"/>
      <protection locked="0"/>
    </xf>
    <xf numFmtId="3" fontId="0" fillId="0" borderId="60" xfId="0" applyNumberFormat="1" applyFont="1" applyBorder="1" applyAlignment="1">
      <alignment horizontal="center" vertical="center"/>
    </xf>
    <xf numFmtId="0" fontId="1" fillId="0" borderId="73" xfId="0" applyFont="1" applyFill="1" applyBorder="1" applyAlignment="1">
      <alignment horizontal="center" vertical="center"/>
    </xf>
    <xf numFmtId="0" fontId="1" fillId="0" borderId="61" xfId="0" applyFont="1" applyFill="1" applyBorder="1" applyAlignment="1">
      <alignment horizontal="center" vertical="center"/>
    </xf>
    <xf numFmtId="3" fontId="0" fillId="0" borderId="61" xfId="0" applyNumberFormat="1" applyFont="1" applyFill="1" applyBorder="1" applyAlignment="1">
      <alignment horizontal="center" vertical="center"/>
    </xf>
    <xf numFmtId="0" fontId="0" fillId="0" borderId="79" xfId="0" applyFill="1" applyBorder="1" applyAlignment="1">
      <alignment horizontal="left" vertical="center" wrapText="1"/>
    </xf>
    <xf numFmtId="3" fontId="0" fillId="0" borderId="70" xfId="0" applyNumberFormat="1" applyFont="1" applyFill="1" applyBorder="1" applyAlignment="1">
      <alignment horizontal="center" vertical="center"/>
    </xf>
    <xf numFmtId="3" fontId="0" fillId="0" borderId="70" xfId="0" applyNumberFormat="1" applyFont="1" applyFill="1" applyBorder="1" applyAlignment="1">
      <alignment horizontal="center" vertical="center"/>
    </xf>
    <xf numFmtId="3" fontId="0" fillId="0" borderId="59" xfId="0" applyNumberFormat="1" applyFont="1" applyFill="1" applyBorder="1" applyAlignment="1">
      <alignment horizontal="center" vertical="center"/>
    </xf>
    <xf numFmtId="3" fontId="0" fillId="0" borderId="58" xfId="0" applyNumberFormat="1" applyFont="1" applyFill="1" applyBorder="1" applyAlignment="1" applyProtection="1">
      <alignment horizontal="center" vertical="center" wrapText="1"/>
      <protection locked="0"/>
    </xf>
    <xf numFmtId="3" fontId="0" fillId="0" borderId="61" xfId="0" applyNumberFormat="1" applyFont="1" applyFill="1" applyBorder="1" applyAlignment="1">
      <alignment horizontal="center" vertical="center"/>
    </xf>
    <xf numFmtId="3" fontId="0" fillId="0" borderId="58" xfId="0" applyNumberFormat="1" applyFont="1" applyFill="1" applyBorder="1" applyAlignment="1">
      <alignment horizontal="center" vertical="center"/>
    </xf>
    <xf numFmtId="0" fontId="47" fillId="13" borderId="61" xfId="0" applyFont="1" applyFill="1" applyBorder="1" applyAlignment="1" applyProtection="1">
      <alignment horizontal="center" vertical="center" wrapText="1"/>
      <protection locked="0"/>
    </xf>
    <xf numFmtId="0" fontId="47" fillId="13" borderId="62" xfId="0" applyFont="1" applyFill="1" applyBorder="1" applyAlignment="1" applyProtection="1">
      <alignment horizontal="center" vertical="center" wrapText="1"/>
      <protection locked="0"/>
    </xf>
    <xf numFmtId="3" fontId="0" fillId="0" borderId="71" xfId="0" applyNumberFormat="1" applyFont="1" applyFill="1" applyBorder="1" applyAlignment="1" applyProtection="1">
      <alignment horizontal="center" vertical="center" wrapText="1"/>
      <protection locked="0"/>
    </xf>
    <xf numFmtId="3" fontId="0" fillId="0" borderId="58" xfId="0" applyNumberFormat="1" applyFont="1" applyBorder="1" applyAlignment="1">
      <alignment horizontal="center" vertical="center"/>
    </xf>
    <xf numFmtId="49" fontId="0" fillId="0" borderId="58" xfId="0" applyNumberFormat="1" applyFont="1" applyFill="1" applyBorder="1" applyAlignment="1" applyProtection="1">
      <alignment horizontal="center" vertical="center"/>
      <protection locked="0"/>
    </xf>
    <xf numFmtId="0" fontId="26" fillId="0" borderId="59" xfId="0" applyFont="1" applyFill="1" applyBorder="1" applyAlignment="1" applyProtection="1">
      <alignment horizontal="center" vertical="center" wrapText="1"/>
      <protection locked="0"/>
    </xf>
    <xf numFmtId="3" fontId="0" fillId="0" borderId="58" xfId="0" applyNumberFormat="1" applyFont="1" applyFill="1" applyBorder="1" applyAlignment="1" applyProtection="1">
      <alignment horizontal="center" vertical="center"/>
      <protection locked="0"/>
    </xf>
    <xf numFmtId="3" fontId="0" fillId="0" borderId="59" xfId="0" applyNumberFormat="1" applyFont="1" applyBorder="1" applyAlignment="1">
      <alignment horizontal="center" vertical="center"/>
    </xf>
    <xf numFmtId="0" fontId="26" fillId="0" borderId="58" xfId="0" applyFont="1" applyFill="1" applyBorder="1" applyAlignment="1" applyProtection="1">
      <alignment horizontal="center" vertical="center" wrapText="1"/>
      <protection locked="0"/>
    </xf>
    <xf numFmtId="3" fontId="0" fillId="0" borderId="71" xfId="0" applyNumberFormat="1" applyFill="1" applyBorder="1" applyAlignment="1" applyProtection="1">
      <alignment horizontal="center" vertical="center" wrapText="1"/>
      <protection locked="0"/>
    </xf>
    <xf numFmtId="3" fontId="0" fillId="0" borderId="59" xfId="0" applyNumberFormat="1" applyFill="1" applyBorder="1" applyAlignment="1">
      <alignment horizontal="center" vertical="center"/>
    </xf>
    <xf numFmtId="0" fontId="1" fillId="0" borderId="73" xfId="0" applyFont="1" applyFill="1" applyBorder="1" applyAlignment="1">
      <alignment horizontal="center" vertical="center"/>
    </xf>
    <xf numFmtId="0" fontId="1" fillId="0" borderId="61" xfId="0" applyFont="1" applyFill="1" applyBorder="1" applyAlignment="1">
      <alignment horizontal="center" vertical="center"/>
    </xf>
    <xf numFmtId="3" fontId="0" fillId="0" borderId="60" xfId="0" applyNumberFormat="1" applyFont="1" applyBorder="1" applyAlignment="1">
      <alignment horizontal="center" vertical="center"/>
    </xf>
    <xf numFmtId="0" fontId="0" fillId="0" borderId="79" xfId="0" applyFont="1" applyFill="1" applyBorder="1" applyAlignment="1">
      <alignment horizontal="left" vertical="center"/>
    </xf>
    <xf numFmtId="3" fontId="0" fillId="0" borderId="61" xfId="0" applyNumberFormat="1" applyFill="1" applyBorder="1" applyAlignment="1" applyProtection="1">
      <alignment horizontal="center" vertical="center" wrapText="1"/>
      <protection locked="0"/>
    </xf>
    <xf numFmtId="3" fontId="0" fillId="0" borderId="58" xfId="0" applyNumberFormat="1" applyFill="1" applyBorder="1" applyAlignment="1" applyProtection="1">
      <alignment horizontal="center" vertical="center" wrapText="1"/>
      <protection locked="0"/>
    </xf>
    <xf numFmtId="0" fontId="0" fillId="0" borderId="81" xfId="0" applyBorder="1" applyAlignment="1">
      <alignment vertical="center" wrapText="1"/>
    </xf>
    <xf numFmtId="3" fontId="0" fillId="0" borderId="71" xfId="0" applyNumberFormat="1" applyFont="1" applyFill="1" applyBorder="1" applyAlignment="1">
      <alignment vertical="center"/>
    </xf>
    <xf numFmtId="3" fontId="0" fillId="0" borderId="61" xfId="0" applyNumberFormat="1" applyFill="1" applyBorder="1" applyAlignment="1" applyProtection="1">
      <alignment horizontal="left" vertical="center" wrapText="1"/>
      <protection locked="0"/>
    </xf>
    <xf numFmtId="3" fontId="34" fillId="0" borderId="61" xfId="2" applyNumberFormat="1" applyFont="1" applyFill="1" applyBorder="1" applyAlignment="1">
      <alignment horizontal="center" vertical="center"/>
    </xf>
    <xf numFmtId="3" fontId="0" fillId="0" borderId="61" xfId="0" applyNumberFormat="1" applyFont="1" applyFill="1" applyBorder="1" applyAlignment="1" applyProtection="1">
      <alignment horizontal="center" vertical="center"/>
      <protection locked="0"/>
    </xf>
    <xf numFmtId="0" fontId="0" fillId="0" borderId="63" xfId="0" applyBorder="1" applyAlignment="1">
      <alignment wrapText="1"/>
    </xf>
    <xf numFmtId="1" fontId="0" fillId="0" borderId="0" xfId="0" applyNumberFormat="1"/>
    <xf numFmtId="3" fontId="16" fillId="0" borderId="61" xfId="0" applyNumberFormat="1" applyFont="1" applyFill="1" applyBorder="1" applyAlignment="1" applyProtection="1">
      <alignment horizontal="center" vertical="center" wrapText="1"/>
      <protection locked="0"/>
    </xf>
    <xf numFmtId="3" fontId="22" fillId="0" borderId="61" xfId="0" applyNumberFormat="1" applyFont="1" applyFill="1" applyBorder="1" applyAlignment="1" applyProtection="1">
      <alignment horizontal="center" vertical="center" wrapText="1"/>
      <protection locked="0"/>
    </xf>
    <xf numFmtId="3" fontId="0" fillId="0" borderId="60" xfId="0" applyNumberFormat="1" applyFont="1" applyFill="1" applyBorder="1" applyAlignment="1">
      <alignment horizontal="center" vertical="center"/>
    </xf>
    <xf numFmtId="3" fontId="0" fillId="0" borderId="61" xfId="0" applyNumberFormat="1" applyFont="1" applyFill="1" applyBorder="1" applyAlignment="1" applyProtection="1">
      <alignment horizontal="center" vertical="center" wrapText="1"/>
      <protection locked="0"/>
    </xf>
    <xf numFmtId="3" fontId="16" fillId="0" borderId="61" xfId="2" applyNumberFormat="1" applyFont="1" applyFill="1" applyBorder="1" applyAlignment="1">
      <alignment horizontal="center" vertical="center"/>
    </xf>
    <xf numFmtId="0" fontId="25" fillId="0" borderId="0" xfId="0" applyFont="1" applyFill="1" applyBorder="1" applyAlignment="1" applyProtection="1">
      <alignment horizontal="left" vertical="center" wrapText="1"/>
      <protection locked="0"/>
    </xf>
    <xf numFmtId="0" fontId="25" fillId="0" borderId="105" xfId="0" applyFont="1" applyFill="1" applyBorder="1" applyAlignment="1" applyProtection="1">
      <alignment horizontal="left" vertical="center" wrapText="1"/>
      <protection locked="0"/>
    </xf>
    <xf numFmtId="3" fontId="0" fillId="0" borderId="111" xfId="0" applyNumberFormat="1" applyFont="1" applyBorder="1" applyAlignment="1">
      <alignment horizontal="center"/>
    </xf>
    <xf numFmtId="3" fontId="22" fillId="0" borderId="70" xfId="0" applyNumberFormat="1" applyFont="1" applyFill="1" applyBorder="1" applyAlignment="1">
      <alignment horizontal="center" vertical="center"/>
    </xf>
    <xf numFmtId="0" fontId="0" fillId="0" borderId="0" xfId="0" applyFont="1" applyFill="1" applyBorder="1" applyAlignment="1" applyProtection="1">
      <alignment horizontal="left" vertical="center" wrapText="1"/>
      <protection locked="0"/>
    </xf>
    <xf numFmtId="0" fontId="0" fillId="0" borderId="105" xfId="0" applyFont="1" applyFill="1" applyBorder="1" applyAlignment="1" applyProtection="1">
      <alignment horizontal="left" vertical="center" wrapText="1"/>
      <protection locked="0"/>
    </xf>
    <xf numFmtId="0" fontId="0" fillId="0" borderId="61" xfId="0" applyFont="1" applyFill="1" applyBorder="1" applyAlignment="1" applyProtection="1">
      <alignment horizontal="center" vertical="center" wrapText="1"/>
      <protection locked="0"/>
    </xf>
    <xf numFmtId="0" fontId="0" fillId="0" borderId="61" xfId="0" applyFill="1" applyBorder="1" applyAlignment="1" applyProtection="1">
      <alignment horizontal="left" vertical="center" wrapText="1"/>
      <protection locked="0"/>
    </xf>
    <xf numFmtId="0" fontId="0" fillId="0" borderId="58" xfId="0" applyFont="1" applyFill="1" applyBorder="1" applyAlignment="1" applyProtection="1">
      <alignment horizontal="center" vertical="center" wrapText="1"/>
      <protection locked="0"/>
    </xf>
    <xf numFmtId="0" fontId="0" fillId="0" borderId="58" xfId="0" applyFill="1" applyBorder="1" applyAlignment="1" applyProtection="1">
      <alignment horizontal="center" vertical="center" wrapText="1"/>
      <protection locked="0"/>
    </xf>
    <xf numFmtId="0" fontId="0" fillId="0" borderId="58" xfId="0" applyFill="1" applyBorder="1" applyAlignment="1" applyProtection="1">
      <alignment horizontal="left" vertical="center" wrapText="1"/>
      <protection locked="0"/>
    </xf>
    <xf numFmtId="0" fontId="0" fillId="0" borderId="75" xfId="0" applyFont="1" applyFill="1" applyBorder="1" applyAlignment="1" applyProtection="1">
      <alignment horizontal="left" vertical="center" wrapText="1"/>
      <protection locked="0"/>
    </xf>
    <xf numFmtId="0" fontId="0" fillId="0" borderId="58" xfId="0" applyFont="1" applyFill="1" applyBorder="1" applyAlignment="1" applyProtection="1">
      <alignment horizontal="left" vertical="center" wrapText="1"/>
      <protection locked="0"/>
    </xf>
    <xf numFmtId="0" fontId="0" fillId="0" borderId="66" xfId="0" applyFont="1" applyFill="1" applyBorder="1" applyAlignment="1" applyProtection="1">
      <alignment horizontal="left" vertical="center" wrapText="1"/>
      <protection locked="0"/>
    </xf>
    <xf numFmtId="0" fontId="0" fillId="0" borderId="62" xfId="0" applyFont="1" applyFill="1" applyBorder="1" applyAlignment="1" applyProtection="1">
      <alignment horizontal="left" vertical="center" wrapText="1"/>
      <protection locked="0"/>
    </xf>
    <xf numFmtId="3" fontId="0" fillId="0" borderId="65" xfId="0" applyNumberFormat="1" applyFill="1" applyBorder="1" applyAlignment="1" applyProtection="1">
      <alignment horizontal="center" vertical="center" wrapText="1"/>
      <protection locked="0"/>
    </xf>
    <xf numFmtId="3" fontId="26" fillId="0" borderId="61" xfId="0" applyNumberFormat="1" applyFont="1" applyFill="1" applyBorder="1" applyAlignment="1" applyProtection="1">
      <alignment horizontal="center" vertical="center" wrapText="1"/>
      <protection locked="0"/>
    </xf>
    <xf numFmtId="3" fontId="26" fillId="0" borderId="58" xfId="0" applyNumberFormat="1" applyFont="1" applyFill="1" applyBorder="1" applyAlignment="1" applyProtection="1">
      <alignment horizontal="center" vertical="center" wrapText="1"/>
      <protection locked="0"/>
    </xf>
    <xf numFmtId="0" fontId="0" fillId="0" borderId="75" xfId="0" applyFont="1" applyFill="1" applyBorder="1" applyAlignment="1" applyProtection="1">
      <alignment horizontal="center" vertical="center" wrapText="1"/>
      <protection locked="0"/>
    </xf>
    <xf numFmtId="2" fontId="26" fillId="0" borderId="61" xfId="0" applyNumberFormat="1" applyFont="1" applyFill="1" applyBorder="1" applyAlignment="1" applyProtection="1">
      <alignment horizontal="center" vertical="center" wrapText="1"/>
      <protection locked="0"/>
    </xf>
    <xf numFmtId="2" fontId="0" fillId="0" borderId="61" xfId="0" applyNumberFormat="1" applyFill="1" applyBorder="1" applyAlignment="1" applyProtection="1">
      <alignment horizontal="left" vertical="center" wrapText="1"/>
      <protection locked="0"/>
    </xf>
    <xf numFmtId="2" fontId="0" fillId="0" borderId="61" xfId="0" applyNumberFormat="1" applyFill="1" applyBorder="1" applyAlignment="1">
      <alignment horizontal="center" vertical="center"/>
    </xf>
    <xf numFmtId="3" fontId="0" fillId="0" borderId="61" xfId="0" applyNumberFormat="1" applyFont="1" applyBorder="1" applyAlignment="1">
      <alignment horizontal="center" vertical="center"/>
    </xf>
    <xf numFmtId="0" fontId="0" fillId="0" borderId="75" xfId="0" applyBorder="1" applyAlignment="1">
      <alignment vertical="center"/>
    </xf>
    <xf numFmtId="49" fontId="0" fillId="0" borderId="58" xfId="0" applyNumberFormat="1" applyFont="1" applyBorder="1" applyAlignment="1" applyProtection="1">
      <alignment horizontal="center" vertical="center"/>
      <protection locked="0"/>
    </xf>
    <xf numFmtId="0" fontId="0" fillId="0" borderId="61" xfId="0" applyFill="1" applyBorder="1" applyAlignment="1" applyProtection="1">
      <alignment horizontal="center" vertical="center" wrapText="1"/>
      <protection locked="0"/>
    </xf>
    <xf numFmtId="3" fontId="0" fillId="0" borderId="61" xfId="0" applyNumberFormat="1" applyFill="1" applyBorder="1" applyAlignment="1" applyProtection="1">
      <alignment horizontal="center" vertical="center" wrapText="1"/>
      <protection locked="0"/>
    </xf>
    <xf numFmtId="3" fontId="0" fillId="0" borderId="58" xfId="0" applyNumberFormat="1" applyFill="1" applyBorder="1" applyAlignment="1" applyProtection="1">
      <alignment horizontal="center" vertical="center" wrapText="1"/>
      <protection locked="0"/>
    </xf>
    <xf numFmtId="3" fontId="0" fillId="0" borderId="61" xfId="0" applyNumberFormat="1" applyFont="1" applyFill="1" applyBorder="1" applyAlignment="1">
      <alignment horizontal="center" vertical="center"/>
    </xf>
    <xf numFmtId="3" fontId="0" fillId="0" borderId="58" xfId="0" applyNumberFormat="1" applyFont="1" applyFill="1" applyBorder="1" applyAlignment="1">
      <alignment horizontal="center" vertical="center"/>
    </xf>
    <xf numFmtId="3" fontId="0" fillId="0" borderId="61" xfId="0" applyNumberFormat="1" applyFont="1" applyFill="1" applyBorder="1" applyAlignment="1" applyProtection="1">
      <alignment horizontal="center" vertical="center" wrapText="1"/>
      <protection locked="0"/>
    </xf>
    <xf numFmtId="3" fontId="0" fillId="0" borderId="58" xfId="0" applyNumberFormat="1" applyFont="1" applyFill="1" applyBorder="1" applyAlignment="1" applyProtection="1">
      <alignment horizontal="center" vertical="center" wrapText="1"/>
      <protection locked="0"/>
    </xf>
    <xf numFmtId="3" fontId="0" fillId="0" borderId="59" xfId="0" applyNumberFormat="1" applyFill="1" applyBorder="1" applyAlignment="1">
      <alignment horizontal="center" vertical="center"/>
    </xf>
    <xf numFmtId="3" fontId="0" fillId="0" borderId="59" xfId="0" applyNumberFormat="1" applyFont="1" applyFill="1" applyBorder="1" applyAlignment="1">
      <alignment horizontal="center" vertical="center"/>
    </xf>
    <xf numFmtId="3" fontId="16" fillId="0" borderId="58" xfId="0" applyNumberFormat="1" applyFont="1" applyFill="1" applyBorder="1" applyAlignment="1" applyProtection="1">
      <alignment horizontal="center" vertical="center" wrapText="1"/>
      <protection locked="0"/>
    </xf>
    <xf numFmtId="49" fontId="16" fillId="0" borderId="58" xfId="0" applyNumberFormat="1" applyFont="1" applyFill="1" applyBorder="1" applyAlignment="1" applyProtection="1">
      <alignment horizontal="center" vertical="center" wrapText="1"/>
      <protection locked="0"/>
    </xf>
    <xf numFmtId="0" fontId="29" fillId="0" borderId="58" xfId="0" applyFont="1" applyFill="1" applyBorder="1" applyAlignment="1" applyProtection="1">
      <alignment horizontal="center" vertical="center" wrapText="1"/>
      <protection locked="0"/>
    </xf>
    <xf numFmtId="3" fontId="16" fillId="0" borderId="59" xfId="0" applyNumberFormat="1" applyFont="1" applyFill="1" applyBorder="1" applyAlignment="1" applyProtection="1">
      <alignment horizontal="center" vertical="center" wrapText="1"/>
      <protection locked="0"/>
    </xf>
    <xf numFmtId="0" fontId="26" fillId="0" borderId="58" xfId="0" applyFont="1" applyFill="1" applyBorder="1" applyAlignment="1" applyProtection="1">
      <alignment horizontal="center" vertical="center" wrapText="1"/>
      <protection locked="0"/>
    </xf>
    <xf numFmtId="0" fontId="26" fillId="0" borderId="59" xfId="0" applyFont="1" applyFill="1" applyBorder="1" applyAlignment="1" applyProtection="1">
      <alignment horizontal="center" vertical="center" wrapText="1"/>
      <protection locked="0"/>
    </xf>
    <xf numFmtId="3" fontId="0" fillId="0" borderId="59" xfId="0" applyNumberFormat="1" applyFont="1" applyFill="1" applyBorder="1" applyAlignment="1" applyProtection="1">
      <alignment horizontal="center" vertical="center" wrapText="1"/>
      <protection locked="0"/>
    </xf>
    <xf numFmtId="3" fontId="16" fillId="0" borderId="60" xfId="0" applyNumberFormat="1" applyFont="1" applyFill="1" applyBorder="1" applyAlignment="1" applyProtection="1">
      <alignment horizontal="center" vertical="center" wrapText="1"/>
      <protection locked="0"/>
    </xf>
    <xf numFmtId="2" fontId="26" fillId="0" borderId="58" xfId="0" applyNumberFormat="1" applyFont="1" applyFill="1" applyBorder="1" applyAlignment="1" applyProtection="1">
      <alignment horizontal="center" vertical="center" wrapText="1"/>
      <protection locked="0"/>
    </xf>
    <xf numFmtId="0" fontId="47" fillId="13" borderId="61" xfId="0" applyFont="1" applyFill="1" applyBorder="1" applyAlignment="1">
      <alignment horizontal="center" vertical="center"/>
    </xf>
    <xf numFmtId="0" fontId="16" fillId="0" borderId="58" xfId="0" applyFont="1" applyFill="1" applyBorder="1" applyAlignment="1">
      <alignment horizontal="center" vertical="center" wrapText="1"/>
    </xf>
    <xf numFmtId="0" fontId="0" fillId="0" borderId="59" xfId="0" applyFill="1" applyBorder="1" applyAlignment="1" applyProtection="1">
      <alignment horizontal="left" vertical="center" wrapText="1"/>
      <protection locked="0"/>
    </xf>
    <xf numFmtId="3" fontId="0" fillId="0" borderId="59" xfId="0" applyNumberFormat="1" applyFill="1" applyBorder="1" applyAlignment="1" applyProtection="1">
      <alignment horizontal="center" vertical="center" wrapText="1"/>
      <protection locked="0"/>
    </xf>
    <xf numFmtId="3" fontId="0" fillId="0" borderId="81" xfId="0" applyNumberFormat="1" applyBorder="1" applyAlignment="1">
      <alignment vertical="center" wrapText="1"/>
    </xf>
    <xf numFmtId="3" fontId="0" fillId="0" borderId="103" xfId="0" applyNumberFormat="1" applyFont="1" applyBorder="1" applyAlignment="1">
      <alignment vertical="center" wrapText="1"/>
    </xf>
    <xf numFmtId="0" fontId="0" fillId="0" borderId="75" xfId="0" applyFill="1" applyBorder="1" applyAlignment="1" applyProtection="1">
      <alignment horizontal="left" vertical="center" wrapText="1"/>
      <protection locked="0"/>
    </xf>
    <xf numFmtId="0" fontId="0" fillId="0" borderId="69" xfId="0" applyFont="1" applyBorder="1" applyAlignment="1">
      <alignment horizontal="center"/>
    </xf>
    <xf numFmtId="0" fontId="25" fillId="0" borderId="59" xfId="0" applyFont="1" applyFill="1" applyBorder="1" applyAlignment="1" applyProtection="1">
      <alignment horizontal="left" vertical="center" wrapText="1"/>
      <protection locked="0"/>
    </xf>
    <xf numFmtId="3" fontId="1" fillId="0" borderId="59" xfId="0" applyNumberFormat="1" applyFont="1" applyFill="1" applyBorder="1" applyAlignment="1">
      <alignment horizontal="center" vertical="center"/>
    </xf>
    <xf numFmtId="0" fontId="0" fillId="0" borderId="112" xfId="0" applyFont="1" applyFill="1" applyBorder="1" applyAlignment="1">
      <alignment horizontal="center" vertical="center"/>
    </xf>
    <xf numFmtId="49" fontId="0" fillId="0" borderId="68" xfId="0" applyNumberFormat="1" applyFill="1" applyBorder="1" applyAlignment="1" applyProtection="1">
      <alignment horizontal="center" vertical="center" wrapText="1"/>
      <protection locked="0"/>
    </xf>
    <xf numFmtId="49" fontId="0" fillId="0" borderId="68" xfId="0" applyNumberFormat="1" applyFill="1" applyBorder="1" applyAlignment="1" applyProtection="1">
      <alignment horizontal="center" vertical="center"/>
      <protection locked="0"/>
    </xf>
    <xf numFmtId="3" fontId="0" fillId="0" borderId="68" xfId="0" applyNumberFormat="1" applyFont="1" applyFill="1" applyBorder="1" applyAlignment="1" applyProtection="1">
      <alignment horizontal="center" vertical="center"/>
      <protection locked="0"/>
    </xf>
    <xf numFmtId="3" fontId="0" fillId="0" borderId="113" xfId="0" applyNumberFormat="1" applyFont="1" applyFill="1" applyBorder="1" applyAlignment="1" applyProtection="1">
      <alignment horizontal="center" vertical="center"/>
      <protection locked="0"/>
    </xf>
    <xf numFmtId="167" fontId="29" fillId="0" borderId="68" xfId="2" applyNumberFormat="1" applyFont="1" applyFill="1" applyBorder="1" applyAlignment="1">
      <alignment horizontal="center" vertical="center" wrapText="1"/>
    </xf>
    <xf numFmtId="3" fontId="0" fillId="0" borderId="69" xfId="0" applyNumberFormat="1" applyFill="1" applyBorder="1" applyAlignment="1" applyProtection="1">
      <alignment horizontal="justify" vertical="justify" wrapText="1"/>
      <protection locked="0"/>
    </xf>
    <xf numFmtId="0" fontId="1" fillId="0" borderId="95" xfId="0" applyFont="1" applyFill="1" applyBorder="1" applyAlignment="1" applyProtection="1">
      <alignment vertical="center"/>
      <protection locked="0"/>
    </xf>
    <xf numFmtId="0" fontId="1" fillId="0" borderId="68" xfId="0" applyFont="1" applyFill="1" applyBorder="1" applyAlignment="1" applyProtection="1">
      <alignment vertical="center"/>
      <protection locked="0"/>
    </xf>
    <xf numFmtId="3" fontId="30" fillId="0" borderId="60" xfId="0" applyNumberFormat="1" applyFont="1" applyFill="1" applyBorder="1" applyAlignment="1" applyProtection="1">
      <alignment horizontal="center" vertical="center" wrapText="1"/>
      <protection locked="0"/>
    </xf>
    <xf numFmtId="49" fontId="47" fillId="13" borderId="104" xfId="0" applyNumberFormat="1" applyFont="1" applyFill="1" applyBorder="1" applyAlignment="1" applyProtection="1">
      <alignment horizontal="center" vertical="center"/>
      <protection locked="0"/>
    </xf>
    <xf numFmtId="3" fontId="47" fillId="13" borderId="100" xfId="0" applyNumberFormat="1" applyFont="1" applyFill="1" applyBorder="1" applyAlignment="1" applyProtection="1">
      <alignment horizontal="center" vertical="center" wrapText="1"/>
      <protection locked="0"/>
    </xf>
    <xf numFmtId="3" fontId="47" fillId="13" borderId="101" xfId="0" applyNumberFormat="1" applyFont="1" applyFill="1" applyBorder="1" applyAlignment="1" applyProtection="1">
      <alignment horizontal="center" vertical="center" wrapText="1"/>
      <protection locked="0"/>
    </xf>
    <xf numFmtId="49" fontId="39" fillId="0" borderId="21" xfId="0" applyNumberFormat="1" applyFont="1" applyFill="1" applyBorder="1" applyAlignment="1" applyProtection="1">
      <alignment horizontal="center" vertical="center"/>
      <protection locked="0"/>
    </xf>
    <xf numFmtId="0" fontId="40" fillId="0" borderId="1" xfId="0" applyFont="1" applyFill="1" applyBorder="1" applyAlignment="1" applyProtection="1">
      <alignment horizontal="center" vertical="center" wrapText="1"/>
      <protection locked="0"/>
    </xf>
    <xf numFmtId="0" fontId="55" fillId="13" borderId="1" xfId="1" applyFont="1" applyFill="1" applyBorder="1" applyAlignment="1" applyProtection="1">
      <alignment horizontal="center" vertical="center" wrapText="1"/>
      <protection locked="0"/>
    </xf>
    <xf numFmtId="3" fontId="53" fillId="13" borderId="1" xfId="0" applyNumberFormat="1" applyFont="1" applyFill="1" applyBorder="1" applyAlignment="1">
      <alignment horizontal="center" vertical="center"/>
    </xf>
    <xf numFmtId="0" fontId="56" fillId="13" borderId="1" xfId="1" applyFont="1" applyFill="1" applyBorder="1" applyAlignment="1" applyProtection="1">
      <alignment horizontal="center" vertical="center" wrapText="1"/>
      <protection locked="0"/>
    </xf>
    <xf numFmtId="0" fontId="26" fillId="0" borderId="59" xfId="0" applyFont="1" applyFill="1" applyBorder="1" applyAlignment="1" applyProtection="1">
      <alignment horizontal="center" vertical="center" wrapText="1"/>
      <protection locked="0"/>
    </xf>
    <xf numFmtId="0" fontId="26" fillId="0" borderId="58" xfId="0" applyFont="1" applyFill="1" applyBorder="1" applyAlignment="1" applyProtection="1">
      <alignment horizontal="center" vertical="center" wrapText="1"/>
      <protection locked="0"/>
    </xf>
    <xf numFmtId="3" fontId="0" fillId="0" borderId="59" xfId="0" applyNumberFormat="1" applyFill="1" applyBorder="1" applyAlignment="1">
      <alignment horizontal="center" vertical="center"/>
    </xf>
    <xf numFmtId="2" fontId="25" fillId="0" borderId="61" xfId="0" applyNumberFormat="1" applyFont="1" applyFill="1" applyBorder="1" applyAlignment="1" applyProtection="1">
      <alignment horizontal="left" vertical="center" wrapText="1"/>
      <protection locked="0"/>
    </xf>
    <xf numFmtId="2" fontId="0" fillId="0" borderId="61" xfId="0" applyNumberFormat="1" applyFont="1" applyFill="1" applyBorder="1" applyAlignment="1">
      <alignment horizontal="center" vertical="center"/>
    </xf>
    <xf numFmtId="2" fontId="1" fillId="0" borderId="61" xfId="0" applyNumberFormat="1" applyFont="1" applyFill="1" applyBorder="1" applyAlignment="1">
      <alignment horizontal="center" vertical="center"/>
    </xf>
    <xf numFmtId="2" fontId="31" fillId="0" borderId="61" xfId="0" applyNumberFormat="1" applyFont="1" applyFill="1" applyBorder="1" applyAlignment="1">
      <alignment horizontal="center" vertical="center"/>
    </xf>
    <xf numFmtId="2" fontId="0" fillId="0" borderId="61" xfId="0" applyNumberFormat="1" applyFont="1" applyBorder="1" applyAlignment="1">
      <alignment horizontal="center"/>
    </xf>
    <xf numFmtId="2" fontId="0" fillId="0" borderId="62" xfId="0" applyNumberFormat="1" applyFont="1" applyBorder="1" applyAlignment="1">
      <alignment horizontal="center"/>
    </xf>
    <xf numFmtId="2" fontId="25" fillId="0" borderId="62" xfId="0" applyNumberFormat="1" applyFont="1" applyFill="1" applyBorder="1" applyAlignment="1" applyProtection="1">
      <alignment horizontal="left" vertical="center" wrapText="1"/>
      <protection locked="0"/>
    </xf>
    <xf numFmtId="2" fontId="0" fillId="0" borderId="62" xfId="0" applyNumberFormat="1" applyFont="1" applyFill="1" applyBorder="1" applyAlignment="1">
      <alignment horizontal="center" vertical="center"/>
    </xf>
    <xf numFmtId="2" fontId="1" fillId="0" borderId="62" xfId="0" applyNumberFormat="1" applyFont="1" applyFill="1" applyBorder="1" applyAlignment="1">
      <alignment horizontal="center" vertical="center"/>
    </xf>
    <xf numFmtId="2" fontId="31" fillId="0" borderId="62" xfId="0" applyNumberFormat="1" applyFont="1" applyFill="1" applyBorder="1" applyAlignment="1">
      <alignment horizontal="center" vertical="center"/>
    </xf>
    <xf numFmtId="0" fontId="0" fillId="0" borderId="0" xfId="0" applyAlignment="1">
      <alignment horizontal="left" vertical="center" wrapText="1"/>
    </xf>
    <xf numFmtId="3" fontId="0" fillId="0" borderId="58" xfId="0" applyNumberFormat="1" applyFont="1" applyFill="1" applyBorder="1" applyAlignment="1">
      <alignment horizontal="center" vertical="center"/>
    </xf>
    <xf numFmtId="0" fontId="26" fillId="0" borderId="58" xfId="0" applyFont="1" applyFill="1" applyBorder="1" applyAlignment="1" applyProtection="1">
      <alignment horizontal="center" vertical="center" wrapText="1"/>
      <protection locked="0"/>
    </xf>
    <xf numFmtId="3" fontId="0" fillId="0" borderId="58" xfId="0" applyNumberFormat="1" applyFont="1" applyFill="1" applyBorder="1" applyAlignment="1">
      <alignment horizontal="center" vertical="center"/>
    </xf>
    <xf numFmtId="49" fontId="0" fillId="0" borderId="58" xfId="0" applyNumberFormat="1" applyFill="1" applyBorder="1" applyAlignment="1" applyProtection="1">
      <alignment horizontal="center" vertical="center" wrapText="1"/>
      <protection locked="0"/>
    </xf>
    <xf numFmtId="3" fontId="16" fillId="0" borderId="58" xfId="0" applyNumberFormat="1" applyFont="1" applyFill="1" applyBorder="1" applyAlignment="1" applyProtection="1">
      <alignment horizontal="center" vertical="center" wrapText="1"/>
      <protection locked="0"/>
    </xf>
    <xf numFmtId="49" fontId="0" fillId="0" borderId="58" xfId="0" applyNumberFormat="1" applyFill="1" applyBorder="1" applyAlignment="1" applyProtection="1">
      <alignment horizontal="center" vertical="center"/>
      <protection locked="0"/>
    </xf>
    <xf numFmtId="3" fontId="0" fillId="0" borderId="58" xfId="0" applyNumberFormat="1" applyFill="1" applyBorder="1" applyAlignment="1" applyProtection="1">
      <alignment horizontal="center" vertical="center"/>
      <protection locked="0"/>
    </xf>
    <xf numFmtId="0" fontId="26" fillId="0" borderId="58" xfId="0" applyFont="1" applyFill="1" applyBorder="1" applyAlignment="1" applyProtection="1">
      <alignment horizontal="center" vertical="center" wrapText="1"/>
      <protection locked="0"/>
    </xf>
    <xf numFmtId="49" fontId="0" fillId="0" borderId="59" xfId="0" applyNumberFormat="1" applyFont="1" applyFill="1" applyBorder="1" applyAlignment="1" applyProtection="1">
      <alignment horizontal="center" vertical="center" wrapText="1"/>
      <protection locked="0"/>
    </xf>
    <xf numFmtId="49" fontId="0" fillId="0" borderId="59" xfId="0" applyNumberFormat="1" applyFill="1" applyBorder="1" applyAlignment="1" applyProtection="1">
      <alignment horizontal="center" vertical="center" wrapText="1"/>
      <protection locked="0"/>
    </xf>
    <xf numFmtId="3" fontId="0" fillId="0" borderId="59" xfId="0" applyNumberFormat="1" applyFont="1" applyFill="1" applyBorder="1" applyAlignment="1" applyProtection="1">
      <alignment horizontal="center" vertical="center" wrapText="1"/>
      <protection locked="0"/>
    </xf>
    <xf numFmtId="3" fontId="0" fillId="0" borderId="59" xfId="0" applyNumberFormat="1" applyFont="1" applyFill="1" applyBorder="1" applyAlignment="1">
      <alignment horizontal="center" vertical="center" wrapText="1"/>
    </xf>
    <xf numFmtId="3" fontId="0" fillId="0" borderId="59" xfId="0" applyNumberFormat="1" applyFont="1" applyFill="1" applyBorder="1" applyAlignment="1">
      <alignment horizontal="center" vertical="center"/>
    </xf>
    <xf numFmtId="3" fontId="0" fillId="0" borderId="59" xfId="0" applyNumberFormat="1" applyFill="1" applyBorder="1" applyAlignment="1" applyProtection="1">
      <alignment horizontal="center" vertical="center" wrapText="1"/>
      <protection locked="0"/>
    </xf>
    <xf numFmtId="3" fontId="0" fillId="0" borderId="58" xfId="0" applyNumberFormat="1" applyFont="1" applyFill="1" applyBorder="1" applyAlignment="1">
      <alignment horizontal="center" vertical="center"/>
    </xf>
    <xf numFmtId="0" fontId="0" fillId="0" borderId="79" xfId="0" applyFill="1" applyBorder="1" applyAlignment="1">
      <alignment horizontal="left" vertical="center" wrapText="1"/>
    </xf>
    <xf numFmtId="0" fontId="26" fillId="0" borderId="59" xfId="0" applyFont="1" applyFill="1" applyBorder="1" applyAlignment="1" applyProtection="1">
      <alignment horizontal="center" vertical="center" wrapText="1"/>
      <protection locked="0"/>
    </xf>
    <xf numFmtId="0" fontId="26" fillId="0" borderId="58" xfId="0" applyFont="1" applyFill="1" applyBorder="1" applyAlignment="1" applyProtection="1">
      <alignment horizontal="center" vertical="center" wrapText="1"/>
      <protection locked="0"/>
    </xf>
    <xf numFmtId="49" fontId="0" fillId="0" borderId="58" xfId="0" applyNumberFormat="1" applyFont="1" applyFill="1" applyBorder="1" applyAlignment="1" applyProtection="1">
      <alignment horizontal="center" vertical="center" wrapText="1"/>
      <protection locked="0"/>
    </xf>
    <xf numFmtId="49" fontId="0" fillId="0" borderId="58" xfId="0" applyNumberFormat="1" applyFill="1" applyBorder="1" applyAlignment="1" applyProtection="1">
      <alignment horizontal="center" vertical="center" wrapText="1"/>
      <protection locked="0"/>
    </xf>
    <xf numFmtId="0" fontId="0" fillId="0" borderId="79" xfId="0" applyFont="1" applyFill="1" applyBorder="1" applyAlignment="1">
      <alignment horizontal="left" vertical="center" wrapText="1"/>
    </xf>
    <xf numFmtId="3" fontId="0" fillId="0" borderId="59" xfId="0" applyNumberFormat="1" applyFont="1" applyFill="1" applyBorder="1" applyAlignment="1" applyProtection="1">
      <alignment horizontal="center" vertical="center"/>
      <protection locked="0"/>
    </xf>
    <xf numFmtId="3" fontId="0" fillId="0" borderId="58" xfId="0" applyNumberFormat="1" applyFont="1" applyFill="1" applyBorder="1" applyAlignment="1" applyProtection="1">
      <alignment horizontal="center" vertical="center"/>
      <protection locked="0"/>
    </xf>
    <xf numFmtId="49" fontId="0" fillId="0" borderId="58" xfId="0" applyNumberFormat="1" applyFill="1" applyBorder="1" applyAlignment="1" applyProtection="1">
      <alignment horizontal="center" vertical="center"/>
      <protection locked="0"/>
    </xf>
    <xf numFmtId="3" fontId="0" fillId="0" borderId="59" xfId="0" applyNumberFormat="1" applyFill="1" applyBorder="1" applyAlignment="1">
      <alignment horizontal="center" vertical="center"/>
    </xf>
    <xf numFmtId="0" fontId="0" fillId="0" borderId="82" xfId="0" applyFont="1" applyFill="1" applyBorder="1" applyAlignment="1">
      <alignment horizontal="center" vertical="center"/>
    </xf>
    <xf numFmtId="0" fontId="0" fillId="0" borderId="82" xfId="0" applyFill="1" applyBorder="1" applyAlignment="1">
      <alignment horizontal="center" vertical="center"/>
    </xf>
    <xf numFmtId="3" fontId="0" fillId="0" borderId="61" xfId="0" applyNumberFormat="1" applyFont="1" applyFill="1" applyBorder="1" applyAlignment="1" applyProtection="1">
      <alignment horizontal="center" vertical="center"/>
      <protection locked="0"/>
    </xf>
    <xf numFmtId="3" fontId="0" fillId="0" borderId="58" xfId="0" applyNumberFormat="1" applyFont="1" applyFill="1" applyBorder="1" applyAlignment="1">
      <alignment horizontal="center" vertical="center"/>
    </xf>
    <xf numFmtId="0" fontId="0" fillId="0" borderId="61" xfId="0" applyBorder="1" applyAlignment="1">
      <alignment horizontal="center" vertical="center"/>
    </xf>
    <xf numFmtId="3" fontId="22" fillId="0" borderId="59" xfId="0" applyNumberFormat="1" applyFont="1" applyBorder="1" applyAlignment="1">
      <alignment horizontal="center" vertical="center"/>
    </xf>
    <xf numFmtId="0" fontId="0" fillId="0" borderId="79" xfId="0" applyFill="1" applyBorder="1" applyAlignment="1">
      <alignment horizontal="left" vertical="center" wrapText="1"/>
    </xf>
    <xf numFmtId="3" fontId="0" fillId="0" borderId="58" xfId="0" applyNumberFormat="1" applyFont="1" applyFill="1" applyBorder="1" applyAlignment="1">
      <alignment horizontal="center" vertical="center"/>
    </xf>
    <xf numFmtId="0" fontId="26" fillId="0" borderId="58" xfId="0" applyFont="1" applyFill="1" applyBorder="1" applyAlignment="1" applyProtection="1">
      <alignment horizontal="center" vertical="center" wrapText="1"/>
      <protection locked="0"/>
    </xf>
    <xf numFmtId="3" fontId="0" fillId="0" borderId="58" xfId="0" applyNumberFormat="1" applyFill="1" applyBorder="1" applyAlignment="1" applyProtection="1">
      <alignment horizontal="center" vertical="center" wrapText="1"/>
      <protection locked="0"/>
    </xf>
    <xf numFmtId="49" fontId="0" fillId="0" borderId="58" xfId="0" applyNumberFormat="1" applyFill="1" applyBorder="1" applyAlignment="1" applyProtection="1">
      <alignment horizontal="center" vertical="center" wrapText="1"/>
      <protection locked="0"/>
    </xf>
    <xf numFmtId="3" fontId="0" fillId="0" borderId="59" xfId="0" applyNumberFormat="1" applyFont="1" applyFill="1" applyBorder="1" applyAlignment="1" applyProtection="1">
      <alignment horizontal="center" vertical="center"/>
      <protection locked="0"/>
    </xf>
    <xf numFmtId="3" fontId="0" fillId="0" borderId="58" xfId="0" applyNumberFormat="1" applyFont="1" applyFill="1" applyBorder="1" applyAlignment="1" applyProtection="1">
      <alignment horizontal="center" vertical="center"/>
      <protection locked="0"/>
    </xf>
    <xf numFmtId="3" fontId="0" fillId="0" borderId="59" xfId="0" applyNumberFormat="1" applyFill="1" applyBorder="1" applyAlignment="1" applyProtection="1">
      <alignment horizontal="center" vertical="center"/>
      <protection locked="0"/>
    </xf>
    <xf numFmtId="3" fontId="0" fillId="0" borderId="58" xfId="0" applyNumberFormat="1" applyFill="1" applyBorder="1" applyAlignment="1" applyProtection="1">
      <alignment horizontal="center" vertical="center"/>
      <protection locked="0"/>
    </xf>
    <xf numFmtId="49" fontId="0" fillId="0" borderId="58" xfId="0" applyNumberFormat="1" applyFill="1" applyBorder="1" applyAlignment="1" applyProtection="1">
      <alignment horizontal="center" vertical="center"/>
      <protection locked="0"/>
    </xf>
    <xf numFmtId="0" fontId="0" fillId="0" borderId="82" xfId="0" applyFont="1" applyFill="1" applyBorder="1" applyAlignment="1">
      <alignment horizontal="center" vertical="center"/>
    </xf>
    <xf numFmtId="49" fontId="0" fillId="0" borderId="59" xfId="0" applyNumberFormat="1" applyFont="1" applyFill="1" applyBorder="1" applyAlignment="1" applyProtection="1">
      <alignment horizontal="center" vertical="center"/>
      <protection locked="0"/>
    </xf>
    <xf numFmtId="3" fontId="0" fillId="0" borderId="58" xfId="0" applyNumberFormat="1" applyFont="1" applyFill="1" applyBorder="1" applyAlignment="1">
      <alignment horizontal="center" vertical="center"/>
    </xf>
    <xf numFmtId="3" fontId="0" fillId="0" borderId="59" xfId="0" applyNumberFormat="1" applyFont="1" applyFill="1" applyBorder="1" applyAlignment="1" applyProtection="1">
      <alignment horizontal="center" vertical="center"/>
      <protection locked="0"/>
    </xf>
    <xf numFmtId="3" fontId="0" fillId="0" borderId="58" xfId="0" applyNumberFormat="1" applyFont="1" applyFill="1" applyBorder="1" applyAlignment="1" applyProtection="1">
      <alignment horizontal="center" vertical="center"/>
      <protection locked="0"/>
    </xf>
    <xf numFmtId="49" fontId="0" fillId="0" borderId="59" xfId="0" applyNumberFormat="1" applyFill="1" applyBorder="1" applyAlignment="1" applyProtection="1">
      <alignment horizontal="center" vertical="center" wrapText="1"/>
      <protection locked="0"/>
    </xf>
    <xf numFmtId="49" fontId="0" fillId="0" borderId="58" xfId="0" applyNumberFormat="1" applyFill="1" applyBorder="1" applyAlignment="1" applyProtection="1">
      <alignment horizontal="center" vertical="center"/>
      <protection locked="0"/>
    </xf>
    <xf numFmtId="0" fontId="26" fillId="0" borderId="58" xfId="0" applyFont="1" applyFill="1" applyBorder="1" applyAlignment="1" applyProtection="1">
      <alignment horizontal="center" vertical="center" wrapText="1"/>
      <protection locked="0"/>
    </xf>
    <xf numFmtId="49" fontId="0" fillId="0" borderId="75" xfId="0" applyNumberFormat="1" applyFont="1" applyFill="1" applyBorder="1" applyAlignment="1" applyProtection="1">
      <alignment horizontal="center" vertical="center" wrapText="1"/>
      <protection locked="0"/>
    </xf>
    <xf numFmtId="49" fontId="0" fillId="0" borderId="58" xfId="0" applyNumberFormat="1" applyFont="1" applyFill="1" applyBorder="1" applyAlignment="1" applyProtection="1">
      <alignment horizontal="center" vertical="center" wrapText="1"/>
      <protection locked="0"/>
    </xf>
    <xf numFmtId="0" fontId="0" fillId="0" borderId="79" xfId="0" applyFont="1" applyBorder="1" applyAlignment="1">
      <alignment horizontal="left" vertical="center" wrapText="1"/>
    </xf>
    <xf numFmtId="49" fontId="0" fillId="0" borderId="59" xfId="0" applyNumberFormat="1" applyFont="1" applyFill="1" applyBorder="1" applyAlignment="1" applyProtection="1">
      <alignment horizontal="center" vertical="center"/>
      <protection locked="0"/>
    </xf>
    <xf numFmtId="0" fontId="0" fillId="0" borderId="78" xfId="0" applyFill="1" applyBorder="1" applyAlignment="1">
      <alignment vertical="center" wrapText="1"/>
    </xf>
    <xf numFmtId="0" fontId="0" fillId="0" borderId="103" xfId="0" applyFont="1" applyFill="1" applyBorder="1" applyAlignment="1">
      <alignment vertical="center" wrapText="1"/>
    </xf>
    <xf numFmtId="0" fontId="0" fillId="0" borderId="79" xfId="0" applyFont="1" applyFill="1" applyBorder="1" applyAlignment="1">
      <alignment vertical="center" wrapText="1"/>
    </xf>
    <xf numFmtId="49" fontId="0" fillId="0" borderId="59" xfId="0" applyNumberFormat="1" applyFill="1" applyBorder="1" applyAlignment="1" applyProtection="1">
      <alignment horizontal="center" vertical="center"/>
      <protection locked="0"/>
    </xf>
    <xf numFmtId="3" fontId="0" fillId="0" borderId="58" xfId="0" applyNumberFormat="1" applyFont="1" applyFill="1" applyBorder="1" applyAlignment="1">
      <alignment horizontal="center" vertical="center"/>
    </xf>
    <xf numFmtId="0" fontId="26" fillId="0" borderId="58" xfId="0" applyFont="1" applyFill="1" applyBorder="1" applyAlignment="1" applyProtection="1">
      <alignment horizontal="center" vertical="center" wrapText="1"/>
      <protection locked="0"/>
    </xf>
    <xf numFmtId="0" fontId="0" fillId="0" borderId="79" xfId="0" applyFont="1" applyBorder="1" applyAlignment="1">
      <alignment horizontal="left" vertical="center" wrapText="1"/>
    </xf>
    <xf numFmtId="3" fontId="0" fillId="0" borderId="59" xfId="0" applyNumberFormat="1" applyFont="1" applyFill="1" applyBorder="1" applyAlignment="1">
      <alignment horizontal="center" vertical="center"/>
    </xf>
    <xf numFmtId="49" fontId="0" fillId="0" borderId="70" xfId="0" applyNumberFormat="1" applyFill="1" applyBorder="1" applyAlignment="1" applyProtection="1">
      <alignment horizontal="center" vertical="center" wrapText="1"/>
      <protection locked="0"/>
    </xf>
    <xf numFmtId="3" fontId="0" fillId="0" borderId="58" xfId="0" applyNumberFormat="1" applyFont="1" applyBorder="1" applyAlignment="1">
      <alignment horizontal="center" vertical="center"/>
    </xf>
    <xf numFmtId="3" fontId="0" fillId="0" borderId="58" xfId="0" applyNumberFormat="1" applyFont="1" applyFill="1" applyBorder="1" applyAlignment="1">
      <alignment horizontal="center" vertical="center"/>
    </xf>
    <xf numFmtId="3" fontId="0" fillId="0" borderId="58" xfId="0" applyNumberFormat="1" applyFont="1" applyFill="1" applyBorder="1" applyAlignment="1" applyProtection="1">
      <alignment horizontal="center" vertical="center" wrapText="1"/>
      <protection locked="0"/>
    </xf>
    <xf numFmtId="3" fontId="0" fillId="0" borderId="61" xfId="0" applyNumberFormat="1" applyFont="1" applyFill="1" applyBorder="1" applyAlignment="1" applyProtection="1">
      <alignment horizontal="center" vertical="center" wrapText="1"/>
      <protection locked="0"/>
    </xf>
    <xf numFmtId="3" fontId="0" fillId="0" borderId="61" xfId="0" applyNumberFormat="1" applyFont="1" applyFill="1" applyBorder="1" applyAlignment="1">
      <alignment horizontal="center" vertical="center"/>
    </xf>
    <xf numFmtId="0" fontId="26" fillId="0" borderId="58" xfId="0" applyFont="1" applyFill="1" applyBorder="1" applyAlignment="1" applyProtection="1">
      <alignment horizontal="center" vertical="center" wrapText="1"/>
      <protection locked="0"/>
    </xf>
    <xf numFmtId="0" fontId="0" fillId="0" borderId="61" xfId="0" applyFont="1" applyFill="1" applyBorder="1" applyAlignment="1" applyProtection="1">
      <alignment horizontal="center" vertical="center" wrapText="1"/>
      <protection locked="0"/>
    </xf>
    <xf numFmtId="0" fontId="0" fillId="0" borderId="58" xfId="0" applyFont="1" applyFill="1" applyBorder="1" applyAlignment="1" applyProtection="1">
      <alignment horizontal="center" vertical="center" wrapText="1"/>
      <protection locked="0"/>
    </xf>
    <xf numFmtId="0" fontId="0" fillId="0" borderId="63" xfId="0" applyFill="1" applyBorder="1" applyAlignment="1">
      <alignment horizontal="left" vertical="center" wrapText="1"/>
    </xf>
    <xf numFmtId="3" fontId="0" fillId="0" borderId="58" xfId="0" applyNumberFormat="1" applyFill="1" applyBorder="1" applyAlignment="1" applyProtection="1">
      <alignment horizontal="center" vertical="center" wrapText="1"/>
      <protection locked="0"/>
    </xf>
    <xf numFmtId="49" fontId="0" fillId="0" borderId="82" xfId="0" applyNumberFormat="1" applyFill="1" applyBorder="1" applyAlignment="1" applyProtection="1">
      <alignment horizontal="center" vertical="center"/>
      <protection locked="0"/>
    </xf>
    <xf numFmtId="3" fontId="0" fillId="0" borderId="59" xfId="0" applyNumberFormat="1" applyFill="1" applyBorder="1" applyAlignment="1">
      <alignment horizontal="center" vertical="center"/>
    </xf>
    <xf numFmtId="49" fontId="16" fillId="0" borderId="75" xfId="0" applyNumberFormat="1" applyFont="1" applyFill="1" applyBorder="1" applyAlignment="1" applyProtection="1">
      <alignment horizontal="center" vertical="center" wrapText="1"/>
      <protection locked="0"/>
    </xf>
    <xf numFmtId="49" fontId="16" fillId="0" borderId="58" xfId="0" applyNumberFormat="1" applyFont="1" applyFill="1" applyBorder="1" applyAlignment="1" applyProtection="1">
      <alignment horizontal="center" vertical="center" wrapText="1"/>
      <protection locked="0"/>
    </xf>
    <xf numFmtId="2" fontId="0" fillId="0" borderId="58" xfId="0" applyNumberFormat="1" applyFill="1" applyBorder="1" applyAlignment="1" applyProtection="1">
      <alignment horizontal="center" vertical="center" wrapText="1"/>
      <protection locked="0"/>
    </xf>
    <xf numFmtId="0" fontId="29" fillId="0" borderId="58" xfId="0" applyFont="1" applyFill="1" applyBorder="1" applyAlignment="1" applyProtection="1">
      <alignment horizontal="center" vertical="center" wrapText="1"/>
      <protection locked="0"/>
    </xf>
    <xf numFmtId="3" fontId="16" fillId="0" borderId="58" xfId="0" applyNumberFormat="1" applyFont="1" applyFill="1" applyBorder="1" applyAlignment="1">
      <alignment horizontal="center" vertical="center" wrapText="1"/>
    </xf>
    <xf numFmtId="2" fontId="26" fillId="0" borderId="58" xfId="0" applyNumberFormat="1" applyFont="1" applyFill="1" applyBorder="1" applyAlignment="1" applyProtection="1">
      <alignment horizontal="center" vertical="center" wrapText="1"/>
      <protection locked="0"/>
    </xf>
    <xf numFmtId="3" fontId="16" fillId="0" borderId="61" xfId="0" applyNumberFormat="1" applyFont="1" applyFill="1" applyBorder="1" applyAlignment="1" applyProtection="1">
      <alignment horizontal="center" vertical="center" wrapText="1"/>
      <protection locked="0"/>
    </xf>
    <xf numFmtId="3" fontId="16" fillId="0" borderId="58" xfId="0" applyNumberFormat="1" applyFont="1" applyFill="1" applyBorder="1" applyAlignment="1" applyProtection="1">
      <alignment horizontal="center" vertical="center" wrapText="1"/>
      <protection locked="0"/>
    </xf>
    <xf numFmtId="0" fontId="16" fillId="0" borderId="58" xfId="0" applyFont="1" applyFill="1" applyBorder="1" applyAlignment="1">
      <alignment horizontal="center" vertical="center" wrapText="1"/>
    </xf>
    <xf numFmtId="0" fontId="0" fillId="0" borderId="76" xfId="0" applyFill="1" applyBorder="1" applyAlignment="1">
      <alignment horizontal="left" vertical="center" wrapText="1"/>
    </xf>
    <xf numFmtId="0" fontId="29" fillId="0" borderId="61" xfId="0" applyFont="1" applyFill="1" applyBorder="1" applyAlignment="1" applyProtection="1">
      <alignment horizontal="center" vertical="center" wrapText="1"/>
      <protection locked="0"/>
    </xf>
    <xf numFmtId="0" fontId="16" fillId="0" borderId="61" xfId="0" applyFont="1" applyFill="1" applyBorder="1" applyAlignment="1">
      <alignment horizontal="center" vertical="center" wrapText="1"/>
    </xf>
    <xf numFmtId="0" fontId="16" fillId="0" borderId="58" xfId="1" applyFont="1" applyFill="1" applyBorder="1" applyAlignment="1" applyProtection="1">
      <alignment vertical="center" wrapText="1"/>
      <protection locked="0"/>
    </xf>
    <xf numFmtId="0" fontId="0" fillId="0" borderId="79" xfId="0" applyFont="1" applyFill="1" applyBorder="1" applyAlignment="1">
      <alignment horizontal="center" vertical="center" wrapText="1"/>
    </xf>
    <xf numFmtId="1" fontId="0" fillId="0" borderId="61" xfId="0" applyNumberFormat="1" applyFont="1" applyFill="1" applyBorder="1" applyAlignment="1" applyProtection="1">
      <alignment horizontal="center" vertical="center" wrapText="1"/>
      <protection locked="0"/>
    </xf>
    <xf numFmtId="0" fontId="22" fillId="0" borderId="61" xfId="0" applyFont="1" applyFill="1" applyBorder="1" applyAlignment="1" applyProtection="1">
      <alignment horizontal="center" vertical="center" wrapText="1"/>
      <protection locked="0"/>
    </xf>
    <xf numFmtId="0" fontId="22" fillId="0" borderId="58" xfId="0" applyFont="1" applyFill="1" applyBorder="1" applyAlignment="1" applyProtection="1">
      <alignment horizontal="center" vertical="center" wrapText="1"/>
      <protection locked="0"/>
    </xf>
    <xf numFmtId="2" fontId="16" fillId="0" borderId="58" xfId="0" applyNumberFormat="1" applyFont="1" applyFill="1" applyBorder="1" applyAlignment="1" applyProtection="1">
      <alignment horizontal="center" vertical="center" wrapText="1"/>
      <protection locked="0"/>
    </xf>
    <xf numFmtId="3" fontId="0" fillId="0" borderId="58" xfId="0" applyNumberFormat="1" applyFont="1" applyFill="1" applyBorder="1" applyAlignment="1">
      <alignment horizontal="center" vertical="center"/>
    </xf>
    <xf numFmtId="3" fontId="0" fillId="0" borderId="61" xfId="0" applyNumberFormat="1" applyFont="1" applyFill="1" applyBorder="1" applyAlignment="1">
      <alignment horizontal="center" vertical="center"/>
    </xf>
    <xf numFmtId="3" fontId="0" fillId="0" borderId="59" xfId="0" applyNumberFormat="1" applyFont="1" applyFill="1" applyBorder="1" applyAlignment="1">
      <alignment horizontal="center" vertical="center"/>
    </xf>
    <xf numFmtId="3" fontId="0" fillId="0" borderId="58" xfId="0" applyNumberFormat="1" applyFont="1" applyFill="1" applyBorder="1" applyAlignment="1">
      <alignment horizontal="center" vertical="center"/>
    </xf>
    <xf numFmtId="0" fontId="0" fillId="0" borderId="79" xfId="0" applyFill="1" applyBorder="1" applyAlignment="1">
      <alignment horizontal="left" vertical="center" wrapText="1"/>
    </xf>
    <xf numFmtId="0" fontId="26" fillId="0" borderId="58" xfId="0" applyFont="1" applyFill="1" applyBorder="1" applyAlignment="1" applyProtection="1">
      <alignment horizontal="center" vertical="center" wrapText="1"/>
      <protection locked="0"/>
    </xf>
    <xf numFmtId="49" fontId="0" fillId="0" borderId="58" xfId="0" applyNumberFormat="1" applyFont="1" applyFill="1" applyBorder="1" applyAlignment="1" applyProtection="1">
      <alignment horizontal="center" vertical="center"/>
      <protection locked="0"/>
    </xf>
    <xf numFmtId="3" fontId="16" fillId="0" borderId="61" xfId="0" applyNumberFormat="1" applyFont="1" applyFill="1" applyBorder="1" applyAlignment="1" applyProtection="1">
      <alignment horizontal="center" vertical="center" wrapText="1"/>
      <protection locked="0"/>
    </xf>
    <xf numFmtId="3" fontId="16" fillId="0" borderId="58" xfId="0" applyNumberFormat="1" applyFont="1" applyFill="1" applyBorder="1" applyAlignment="1" applyProtection="1">
      <alignment horizontal="center" vertical="center" wrapText="1"/>
      <protection locked="0"/>
    </xf>
    <xf numFmtId="49" fontId="0" fillId="0" borderId="58" xfId="0" applyNumberFormat="1" applyFill="1" applyBorder="1" applyAlignment="1" applyProtection="1">
      <alignment horizontal="center" vertical="center"/>
      <protection locked="0"/>
    </xf>
    <xf numFmtId="0" fontId="16" fillId="0" borderId="58" xfId="0" applyFont="1" applyFill="1" applyBorder="1" applyAlignment="1">
      <alignment horizontal="center" vertical="center" wrapText="1"/>
    </xf>
    <xf numFmtId="2" fontId="29" fillId="0" borderId="58" xfId="0" applyNumberFormat="1" applyFont="1" applyFill="1" applyBorder="1" applyAlignment="1" applyProtection="1">
      <alignment horizontal="center" vertical="center" wrapText="1"/>
      <protection locked="0"/>
    </xf>
    <xf numFmtId="3" fontId="0" fillId="0" borderId="59" xfId="0" applyNumberFormat="1" applyFont="1" applyFill="1" applyBorder="1" applyAlignment="1">
      <alignment horizontal="center" vertical="center" wrapText="1"/>
    </xf>
    <xf numFmtId="3" fontId="0" fillId="0" borderId="59" xfId="0" applyNumberFormat="1" applyFont="1" applyFill="1" applyBorder="1" applyAlignment="1">
      <alignment horizontal="center" vertical="center"/>
    </xf>
    <xf numFmtId="49" fontId="0" fillId="0" borderId="59" xfId="0" applyNumberFormat="1" applyFill="1" applyBorder="1" applyAlignment="1" applyProtection="1">
      <alignment horizontal="center" vertical="center" wrapText="1"/>
      <protection locked="0"/>
    </xf>
    <xf numFmtId="0" fontId="0" fillId="0" borderId="81" xfId="0" applyFill="1" applyBorder="1" applyAlignment="1">
      <alignment horizontal="left" vertical="center" wrapText="1"/>
    </xf>
    <xf numFmtId="3" fontId="0" fillId="0" borderId="58" xfId="0" applyNumberFormat="1" applyFont="1" applyFill="1" applyBorder="1" applyAlignment="1">
      <alignment horizontal="center" vertical="center"/>
    </xf>
    <xf numFmtId="3" fontId="0" fillId="0" borderId="70" xfId="0" applyNumberFormat="1" applyFont="1" applyFill="1" applyBorder="1" applyAlignment="1" applyProtection="1">
      <alignment horizontal="center" vertical="center" wrapText="1"/>
      <protection locked="0"/>
    </xf>
    <xf numFmtId="3" fontId="0" fillId="0" borderId="59" xfId="0" applyNumberFormat="1" applyFont="1" applyFill="1" applyBorder="1" applyAlignment="1" applyProtection="1">
      <alignment horizontal="center" vertical="center" wrapText="1"/>
      <protection locked="0"/>
    </xf>
    <xf numFmtId="3" fontId="16" fillId="0" borderId="58" xfId="0" applyNumberFormat="1" applyFont="1" applyFill="1" applyBorder="1" applyAlignment="1" applyProtection="1">
      <alignment horizontal="center" vertical="center" wrapText="1"/>
      <protection locked="0"/>
    </xf>
    <xf numFmtId="3" fontId="0" fillId="0" borderId="58" xfId="0" applyNumberFormat="1" applyFont="1" applyFill="1" applyBorder="1" applyAlignment="1" applyProtection="1">
      <alignment horizontal="center" vertical="center" wrapText="1"/>
      <protection locked="0"/>
    </xf>
    <xf numFmtId="3" fontId="0" fillId="0" borderId="61" xfId="0" applyNumberFormat="1" applyFont="1" applyFill="1" applyBorder="1" applyAlignment="1">
      <alignment horizontal="center" vertical="center"/>
    </xf>
    <xf numFmtId="0" fontId="26" fillId="0" borderId="58" xfId="0" applyFont="1" applyFill="1" applyBorder="1" applyAlignment="1" applyProtection="1">
      <alignment horizontal="center" vertical="center" wrapText="1"/>
      <protection locked="0"/>
    </xf>
    <xf numFmtId="3" fontId="0" fillId="0" borderId="59" xfId="0" applyNumberFormat="1" applyFill="1" applyBorder="1" applyAlignment="1">
      <alignment horizontal="center" vertical="center"/>
    </xf>
    <xf numFmtId="3" fontId="16" fillId="0" borderId="59" xfId="0" applyNumberFormat="1" applyFont="1" applyFill="1" applyBorder="1" applyAlignment="1" applyProtection="1">
      <alignment horizontal="center" vertical="center" wrapText="1"/>
      <protection locked="0"/>
    </xf>
    <xf numFmtId="2" fontId="16" fillId="0" borderId="58" xfId="0" applyNumberFormat="1" applyFont="1" applyFill="1" applyBorder="1" applyAlignment="1" applyProtection="1">
      <alignment horizontal="left" vertical="center" wrapText="1"/>
      <protection locked="0"/>
    </xf>
    <xf numFmtId="2" fontId="16" fillId="0" borderId="58" xfId="2" applyNumberFormat="1" applyFont="1" applyFill="1" applyBorder="1" applyAlignment="1">
      <alignment horizontal="left" vertical="center" wrapText="1"/>
    </xf>
    <xf numFmtId="2" fontId="29" fillId="0" borderId="61" xfId="0" applyNumberFormat="1" applyFont="1" applyFill="1" applyBorder="1" applyAlignment="1" applyProtection="1">
      <alignment horizontal="center" vertical="center" wrapText="1"/>
      <protection locked="0"/>
    </xf>
    <xf numFmtId="2" fontId="16" fillId="0" borderId="61" xfId="2" applyNumberFormat="1" applyFont="1" applyFill="1" applyBorder="1" applyAlignment="1">
      <alignment horizontal="left" vertical="center" wrapText="1"/>
    </xf>
    <xf numFmtId="3" fontId="0" fillId="0" borderId="58" xfId="0" applyNumberFormat="1" applyFont="1" applyFill="1" applyBorder="1" applyAlignment="1">
      <alignment horizontal="center" vertical="center"/>
    </xf>
    <xf numFmtId="3" fontId="0" fillId="0" borderId="58" xfId="0" applyNumberFormat="1" applyBorder="1" applyAlignment="1">
      <alignment horizontal="center" vertical="center"/>
    </xf>
    <xf numFmtId="0" fontId="26" fillId="0" borderId="0" xfId="0" applyFont="1" applyAlignment="1">
      <alignment horizontal="center" wrapText="1"/>
    </xf>
    <xf numFmtId="3" fontId="0" fillId="0" borderId="59" xfId="0" applyNumberFormat="1" applyFont="1" applyFill="1" applyBorder="1" applyAlignment="1">
      <alignment horizontal="center" vertical="center"/>
    </xf>
    <xf numFmtId="3" fontId="0" fillId="0" borderId="58" xfId="0" applyNumberFormat="1" applyFill="1" applyBorder="1" applyAlignment="1" applyProtection="1">
      <alignment horizontal="center" vertical="center" wrapText="1"/>
      <protection locked="0"/>
    </xf>
    <xf numFmtId="3" fontId="0" fillId="0" borderId="58" xfId="0" applyNumberFormat="1" applyFont="1" applyFill="1" applyBorder="1" applyAlignment="1">
      <alignment horizontal="center" vertical="center"/>
    </xf>
    <xf numFmtId="3" fontId="0" fillId="0" borderId="59" xfId="0" applyNumberFormat="1" applyFill="1" applyBorder="1" applyAlignment="1">
      <alignment horizontal="center" vertical="center"/>
    </xf>
    <xf numFmtId="3" fontId="0" fillId="0" borderId="59" xfId="0" applyNumberFormat="1" applyFont="1" applyFill="1" applyBorder="1" applyAlignment="1">
      <alignment horizontal="center" vertical="center"/>
    </xf>
    <xf numFmtId="3" fontId="0" fillId="0" borderId="58" xfId="0" applyNumberFormat="1" applyFont="1" applyFill="1" applyBorder="1" applyAlignment="1">
      <alignment horizontal="center" vertical="center"/>
    </xf>
    <xf numFmtId="0" fontId="26" fillId="0" borderId="60" xfId="0" applyFont="1" applyFill="1" applyBorder="1" applyAlignment="1" applyProtection="1">
      <alignment horizontal="center" vertical="center" wrapText="1"/>
      <protection locked="0"/>
    </xf>
    <xf numFmtId="0" fontId="26" fillId="0" borderId="59" xfId="0" applyFont="1" applyFill="1" applyBorder="1" applyAlignment="1" applyProtection="1">
      <alignment horizontal="center" vertical="center" wrapText="1"/>
      <protection locked="0"/>
    </xf>
    <xf numFmtId="0" fontId="0" fillId="0" borderId="79" xfId="0" applyFont="1" applyFill="1" applyBorder="1" applyAlignment="1">
      <alignment horizontal="left" vertical="center" wrapText="1"/>
    </xf>
    <xf numFmtId="0" fontId="16" fillId="0" borderId="61" xfId="0" applyFont="1" applyFill="1" applyBorder="1" applyAlignment="1">
      <alignment horizontal="center" vertical="center"/>
    </xf>
    <xf numFmtId="0" fontId="16" fillId="0" borderId="58" xfId="0" applyFont="1" applyFill="1" applyBorder="1" applyAlignment="1">
      <alignment horizontal="center" vertical="center"/>
    </xf>
    <xf numFmtId="3" fontId="0" fillId="0" borderId="70" xfId="0" applyNumberFormat="1" applyFont="1" applyFill="1" applyBorder="1" applyAlignment="1">
      <alignment horizontal="center" vertical="center"/>
    </xf>
    <xf numFmtId="3" fontId="0" fillId="0" borderId="59" xfId="0" applyNumberFormat="1" applyFont="1" applyFill="1" applyBorder="1" applyAlignment="1">
      <alignment horizontal="center" vertical="center"/>
    </xf>
    <xf numFmtId="0" fontId="47" fillId="13" borderId="61" xfId="0" applyFont="1" applyFill="1" applyBorder="1" applyAlignment="1" applyProtection="1">
      <alignment horizontal="center" vertical="center" wrapText="1"/>
      <protection locked="0"/>
    </xf>
    <xf numFmtId="0" fontId="47" fillId="13" borderId="62" xfId="0" applyFont="1" applyFill="1" applyBorder="1" applyAlignment="1" applyProtection="1">
      <alignment horizontal="center" vertical="center" wrapText="1"/>
      <protection locked="0"/>
    </xf>
    <xf numFmtId="3" fontId="0" fillId="0" borderId="58" xfId="0" applyNumberFormat="1" applyFont="1" applyFill="1" applyBorder="1" applyAlignment="1">
      <alignment horizontal="center" vertical="center"/>
    </xf>
    <xf numFmtId="3" fontId="0" fillId="0" borderId="59" xfId="0" applyNumberFormat="1" applyFill="1" applyBorder="1" applyAlignment="1">
      <alignment horizontal="center" vertical="center"/>
    </xf>
    <xf numFmtId="0" fontId="0" fillId="0" borderId="79" xfId="0" applyFont="1" applyFill="1" applyBorder="1" applyAlignment="1">
      <alignment horizontal="left" vertical="center" wrapText="1"/>
    </xf>
    <xf numFmtId="0" fontId="26" fillId="0" borderId="60" xfId="0" applyFont="1" applyFill="1" applyBorder="1" applyAlignment="1" applyProtection="1">
      <alignment horizontal="center" vertical="center" wrapText="1"/>
      <protection locked="0"/>
    </xf>
    <xf numFmtId="3" fontId="0" fillId="0" borderId="58" xfId="0" applyNumberFormat="1" applyFont="1" applyFill="1" applyBorder="1" applyAlignment="1">
      <alignment horizontal="center" vertical="center"/>
    </xf>
    <xf numFmtId="0" fontId="0" fillId="0" borderId="103" xfId="0" applyFont="1" applyBorder="1" applyAlignment="1">
      <alignment horizontal="left" vertical="center" wrapText="1"/>
    </xf>
    <xf numFmtId="0" fontId="26" fillId="0" borderId="58" xfId="0" applyFont="1" applyFill="1" applyBorder="1" applyAlignment="1" applyProtection="1">
      <alignment horizontal="center" vertical="center" wrapText="1"/>
      <protection locked="0"/>
    </xf>
    <xf numFmtId="0" fontId="0" fillId="0" borderId="102" xfId="0" applyFont="1" applyFill="1" applyBorder="1" applyAlignment="1">
      <alignment horizontal="center"/>
    </xf>
    <xf numFmtId="0" fontId="25" fillId="0" borderId="111" xfId="1" applyFont="1" applyFill="1" applyBorder="1" applyAlignment="1" applyProtection="1">
      <alignment horizontal="center" vertical="center" wrapText="1"/>
      <protection locked="0"/>
    </xf>
    <xf numFmtId="0" fontId="1" fillId="0" borderId="105" xfId="0" applyFont="1" applyFill="1" applyBorder="1" applyAlignment="1">
      <alignment horizontal="center" vertical="center"/>
    </xf>
    <xf numFmtId="0" fontId="1" fillId="0" borderId="70" xfId="0" applyFont="1" applyFill="1" applyBorder="1" applyAlignment="1">
      <alignment horizontal="center" vertical="center"/>
    </xf>
    <xf numFmtId="0" fontId="0" fillId="0" borderId="103" xfId="0" applyFont="1" applyFill="1" applyBorder="1" applyAlignment="1">
      <alignment horizontal="center"/>
    </xf>
    <xf numFmtId="0" fontId="0" fillId="0" borderId="70" xfId="0" applyFont="1" applyFill="1" applyBorder="1" applyAlignment="1">
      <alignment horizontal="center" vertical="center"/>
    </xf>
    <xf numFmtId="0" fontId="47" fillId="0" borderId="0" xfId="0" applyFont="1" applyFill="1" applyBorder="1" applyAlignment="1">
      <alignment horizontal="center" vertical="center"/>
    </xf>
    <xf numFmtId="0" fontId="22" fillId="0" borderId="70" xfId="0" applyFont="1" applyFill="1" applyBorder="1" applyAlignment="1">
      <alignment horizontal="center" vertical="center"/>
    </xf>
    <xf numFmtId="0" fontId="16" fillId="0" borderId="103" xfId="0" applyFont="1" applyFill="1" applyBorder="1" applyAlignment="1">
      <alignment horizontal="center"/>
    </xf>
    <xf numFmtId="0" fontId="16" fillId="0" borderId="103" xfId="0" applyFont="1" applyFill="1" applyBorder="1" applyAlignment="1">
      <alignment horizontal="center" vertical="center"/>
    </xf>
    <xf numFmtId="0" fontId="29" fillId="0" borderId="61" xfId="1" applyFont="1" applyFill="1" applyBorder="1" applyAlignment="1" applyProtection="1">
      <alignment horizontal="center" vertical="center" wrapText="1"/>
      <protection locked="0"/>
    </xf>
    <xf numFmtId="0" fontId="16" fillId="0" borderId="61" xfId="0" applyFont="1" applyFill="1" applyBorder="1" applyAlignment="1">
      <alignment horizontal="left" vertical="center"/>
    </xf>
    <xf numFmtId="3" fontId="16" fillId="0" borderId="61" xfId="0" applyNumberFormat="1" applyFont="1" applyFill="1" applyBorder="1" applyAlignment="1">
      <alignment horizontal="center" vertical="center"/>
    </xf>
    <xf numFmtId="0" fontId="29" fillId="0" borderId="58" xfId="1" applyFont="1" applyFill="1" applyBorder="1" applyAlignment="1" applyProtection="1">
      <alignment horizontal="center" vertical="center" wrapText="1"/>
      <protection locked="0"/>
    </xf>
    <xf numFmtId="0" fontId="16" fillId="0" borderId="58" xfId="0" applyFont="1" applyFill="1" applyBorder="1" applyAlignment="1">
      <alignment horizontal="left" vertical="center" wrapText="1"/>
    </xf>
    <xf numFmtId="0" fontId="16" fillId="0" borderId="75" xfId="0" applyFont="1" applyFill="1" applyBorder="1" applyAlignment="1">
      <alignment horizontal="center"/>
    </xf>
    <xf numFmtId="3" fontId="16" fillId="0" borderId="58" xfId="0" applyNumberFormat="1" applyFont="1" applyFill="1" applyBorder="1" applyAlignment="1">
      <alignment horizontal="center"/>
    </xf>
    <xf numFmtId="0" fontId="0" fillId="0" borderId="66" xfId="0" applyFont="1" applyFill="1" applyBorder="1" applyAlignment="1">
      <alignment horizontal="center"/>
    </xf>
    <xf numFmtId="3" fontId="26" fillId="0" borderId="62" xfId="0" applyNumberFormat="1" applyFont="1" applyBorder="1" applyAlignment="1" applyProtection="1">
      <alignment horizontal="center" vertical="center"/>
      <protection locked="0"/>
    </xf>
    <xf numFmtId="0" fontId="26" fillId="0" borderId="62" xfId="1" applyFont="1" applyBorder="1" applyAlignment="1" applyProtection="1">
      <alignment horizontal="left" vertical="center" wrapText="1"/>
      <protection locked="0"/>
    </xf>
    <xf numFmtId="0" fontId="0" fillId="0" borderId="62" xfId="0" applyFont="1" applyBorder="1" applyAlignment="1">
      <alignment horizontal="center" vertical="center"/>
    </xf>
    <xf numFmtId="0" fontId="22" fillId="0" borderId="62" xfId="0" applyFont="1" applyBorder="1" applyAlignment="1">
      <alignment horizontal="center" vertical="center"/>
    </xf>
    <xf numFmtId="3" fontId="0" fillId="0" borderId="62" xfId="0" applyNumberFormat="1" applyFont="1" applyBorder="1" applyAlignment="1">
      <alignment horizontal="center" vertical="center"/>
    </xf>
    <xf numFmtId="3" fontId="0" fillId="0" borderId="58" xfId="0" applyNumberFormat="1" applyFont="1" applyFill="1" applyBorder="1" applyAlignment="1">
      <alignment horizontal="center" vertical="center"/>
    </xf>
    <xf numFmtId="3" fontId="0" fillId="0" borderId="58" xfId="0" applyNumberFormat="1" applyFont="1" applyFill="1" applyBorder="1" applyAlignment="1" applyProtection="1">
      <alignment horizontal="center" vertical="center" wrapText="1"/>
      <protection locked="0"/>
    </xf>
    <xf numFmtId="0" fontId="0" fillId="0" borderId="8" xfId="0" applyBorder="1" applyAlignment="1">
      <alignment horizontal="center"/>
    </xf>
    <xf numFmtId="0" fontId="0" fillId="0" borderId="11" xfId="0" applyBorder="1" applyAlignment="1">
      <alignment horizontal="center"/>
    </xf>
    <xf numFmtId="0" fontId="1" fillId="0" borderId="29" xfId="0" applyFont="1" applyBorder="1" applyAlignment="1">
      <alignment horizontal="center" vertical="center"/>
    </xf>
    <xf numFmtId="0" fontId="1" fillId="0" borderId="34" xfId="0" applyFont="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13" xfId="0" applyBorder="1" applyAlignment="1">
      <alignment horizontal="center" vertical="center"/>
    </xf>
    <xf numFmtId="0" fontId="0" fillId="0" borderId="6" xfId="0" applyBorder="1" applyAlignment="1">
      <alignment horizontal="center" vertical="center"/>
    </xf>
    <xf numFmtId="0" fontId="0" fillId="0" borderId="21" xfId="0" applyBorder="1" applyAlignment="1">
      <alignment horizontal="center" vertical="center"/>
    </xf>
    <xf numFmtId="0" fontId="0" fillId="0" borderId="12"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0" borderId="14" xfId="0" applyBorder="1" applyAlignment="1">
      <alignment horizontal="center" vertical="center"/>
    </xf>
    <xf numFmtId="0" fontId="0" fillId="0" borderId="17" xfId="0" applyFont="1" applyBorder="1" applyAlignment="1">
      <alignment horizontal="center" vertical="center"/>
    </xf>
    <xf numFmtId="0" fontId="0" fillId="0" borderId="20" xfId="0" applyFont="1" applyBorder="1" applyAlignment="1">
      <alignment horizontal="center" vertical="center"/>
    </xf>
    <xf numFmtId="0" fontId="0" fillId="0" borderId="7" xfId="0" applyFont="1" applyBorder="1" applyAlignment="1">
      <alignment horizontal="center" vertical="center"/>
    </xf>
    <xf numFmtId="0" fontId="0" fillId="0" borderId="13" xfId="0" applyFont="1" applyBorder="1" applyAlignment="1">
      <alignment horizontal="center" vertical="center"/>
    </xf>
    <xf numFmtId="0" fontId="1" fillId="0" borderId="6" xfId="0" applyFont="1" applyBorder="1" applyAlignment="1">
      <alignment horizontal="center" vertical="center"/>
    </xf>
    <xf numFmtId="0" fontId="1" fillId="0" borderId="35" xfId="0" applyFont="1" applyBorder="1" applyAlignment="1">
      <alignment horizontal="center" vertical="center"/>
    </xf>
    <xf numFmtId="0" fontId="1" fillId="0" borderId="7" xfId="0" applyFont="1" applyBorder="1" applyAlignment="1">
      <alignment horizontal="center" vertical="center"/>
    </xf>
    <xf numFmtId="0" fontId="1" fillId="0" borderId="32" xfId="0" applyFont="1" applyBorder="1" applyAlignment="1">
      <alignment horizontal="center" vertical="center"/>
    </xf>
    <xf numFmtId="0" fontId="0" fillId="0" borderId="18" xfId="0" applyFont="1" applyBorder="1" applyAlignment="1">
      <alignment horizontal="center" vertical="center"/>
    </xf>
    <xf numFmtId="0" fontId="0" fillId="0" borderId="3" xfId="0" applyFont="1" applyBorder="1" applyAlignment="1">
      <alignment horizontal="center" vertical="center"/>
    </xf>
    <xf numFmtId="0" fontId="0" fillId="0" borderId="2"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0" fillId="0" borderId="37" xfId="0" applyBorder="1" applyAlignment="1">
      <alignment horizontal="center"/>
    </xf>
    <xf numFmtId="0" fontId="0" fillId="0" borderId="38" xfId="0" applyBorder="1" applyAlignment="1">
      <alignment horizontal="center"/>
    </xf>
    <xf numFmtId="0" fontId="0" fillId="0" borderId="31" xfId="0" applyBorder="1" applyAlignment="1">
      <alignment horizontal="center" vertical="center"/>
    </xf>
    <xf numFmtId="0" fontId="0" fillId="0" borderId="53" xfId="0" applyFont="1" applyBorder="1" applyAlignment="1">
      <alignment horizontal="center" vertical="center"/>
    </xf>
    <xf numFmtId="0" fontId="0" fillId="0" borderId="6" xfId="0" applyFont="1" applyBorder="1" applyAlignment="1">
      <alignment horizontal="center" vertical="center"/>
    </xf>
    <xf numFmtId="0" fontId="0" fillId="0" borderId="21" xfId="0" applyFont="1" applyBorder="1" applyAlignment="1">
      <alignment horizontal="center" vertical="center"/>
    </xf>
    <xf numFmtId="0" fontId="0" fillId="0" borderId="12" xfId="0" applyFont="1" applyBorder="1" applyAlignment="1">
      <alignment horizontal="center" vertical="center"/>
    </xf>
    <xf numFmtId="0" fontId="0" fillId="0" borderId="1" xfId="0" applyFont="1" applyBorder="1" applyAlignment="1">
      <alignment horizontal="center"/>
    </xf>
    <xf numFmtId="0" fontId="0" fillId="0" borderId="14" xfId="0" applyFont="1" applyBorder="1" applyAlignment="1">
      <alignment horizontal="center"/>
    </xf>
    <xf numFmtId="0" fontId="0" fillId="0" borderId="8" xfId="0" applyFont="1" applyBorder="1" applyAlignment="1">
      <alignment horizontal="center"/>
    </xf>
    <xf numFmtId="0" fontId="0" fillId="0" borderId="8" xfId="0" applyFont="1" applyBorder="1" applyAlignment="1">
      <alignment horizontal="center" vertical="center"/>
    </xf>
    <xf numFmtId="0" fontId="0" fillId="0" borderId="1" xfId="0" applyFont="1" applyBorder="1" applyAlignment="1">
      <alignment horizontal="center" vertical="center"/>
    </xf>
    <xf numFmtId="0" fontId="0" fillId="0" borderId="14" xfId="0" applyFont="1" applyBorder="1" applyAlignment="1">
      <alignment horizontal="center" vertical="center"/>
    </xf>
    <xf numFmtId="0" fontId="1" fillId="0" borderId="40"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0" borderId="34" xfId="0" applyFont="1" applyFill="1" applyBorder="1" applyAlignment="1">
      <alignment horizontal="center" vertical="center" wrapText="1"/>
    </xf>
    <xf numFmtId="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9" fontId="0" fillId="2" borderId="9" xfId="0" applyNumberFormat="1" applyFill="1" applyBorder="1" applyAlignment="1">
      <alignment horizontal="center" vertical="center" wrapText="1"/>
    </xf>
    <xf numFmtId="0" fontId="0" fillId="2" borderId="10" xfId="0" applyFill="1" applyBorder="1" applyAlignment="1">
      <alignment horizontal="center" vertical="center" wrapText="1"/>
    </xf>
    <xf numFmtId="9" fontId="0" fillId="2" borderId="4" xfId="0" applyNumberFormat="1" applyFill="1" applyBorder="1" applyAlignment="1">
      <alignment horizontal="center" vertical="center" wrapText="1"/>
    </xf>
    <xf numFmtId="0" fontId="0" fillId="2" borderId="22" xfId="0" applyFill="1" applyBorder="1" applyAlignment="1">
      <alignment horizontal="center" vertical="center" wrapText="1"/>
    </xf>
    <xf numFmtId="0" fontId="1" fillId="0" borderId="1" xfId="0" applyFont="1" applyBorder="1" applyAlignment="1">
      <alignment horizontal="center"/>
    </xf>
    <xf numFmtId="0" fontId="1" fillId="0" borderId="2" xfId="0" applyFont="1" applyBorder="1" applyAlignment="1">
      <alignment horizontal="center" wrapText="1"/>
    </xf>
    <xf numFmtId="0" fontId="1" fillId="0" borderId="13" xfId="0" applyFont="1" applyBorder="1" applyAlignment="1">
      <alignment horizontal="center" wrapText="1"/>
    </xf>
    <xf numFmtId="0" fontId="1" fillId="0" borderId="13" xfId="0" applyFont="1" applyBorder="1" applyAlignment="1">
      <alignment horizontal="center" vertical="center"/>
    </xf>
    <xf numFmtId="0" fontId="0" fillId="0" borderId="1" xfId="0" applyBorder="1" applyAlignment="1">
      <alignment horizontal="center"/>
    </xf>
    <xf numFmtId="0" fontId="1" fillId="0" borderId="9" xfId="0" applyFont="1" applyBorder="1" applyAlignment="1">
      <alignment horizontal="center" vertical="center"/>
    </xf>
    <xf numFmtId="0" fontId="1" fillId="0" borderId="33" xfId="0" applyFont="1" applyBorder="1" applyAlignment="1">
      <alignment horizontal="center" vertical="center"/>
    </xf>
    <xf numFmtId="0" fontId="1" fillId="0" borderId="23" xfId="0" applyFont="1" applyBorder="1" applyAlignment="1">
      <alignment horizontal="center" vertical="center"/>
    </xf>
    <xf numFmtId="0" fontId="1" fillId="0" borderId="31" xfId="0" applyFont="1" applyBorder="1" applyAlignment="1">
      <alignment horizontal="center" vertical="center"/>
    </xf>
    <xf numFmtId="0" fontId="0" fillId="0" borderId="5" xfId="0" applyBorder="1" applyAlignment="1">
      <alignment horizontal="center" vertical="center"/>
    </xf>
    <xf numFmtId="0" fontId="0" fillId="0" borderId="33" xfId="0"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0" fillId="0" borderId="32" xfId="0" applyBorder="1" applyAlignment="1">
      <alignment horizontal="center" vertical="center"/>
    </xf>
    <xf numFmtId="0" fontId="1" fillId="0" borderId="47" xfId="0" applyFont="1" applyBorder="1" applyAlignment="1">
      <alignment horizontal="center"/>
    </xf>
    <xf numFmtId="0" fontId="1" fillId="0" borderId="49" xfId="0" applyFont="1" applyBorder="1" applyAlignment="1">
      <alignment horizontal="center"/>
    </xf>
    <xf numFmtId="0" fontId="0" fillId="0" borderId="35" xfId="0" applyBorder="1" applyAlignment="1">
      <alignment horizontal="center" vertical="center"/>
    </xf>
    <xf numFmtId="0" fontId="1" fillId="0" borderId="40"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34" xfId="0" applyFont="1" applyBorder="1" applyAlignment="1">
      <alignment horizontal="center" vertical="center" wrapText="1"/>
    </xf>
    <xf numFmtId="9" fontId="0" fillId="2" borderId="10" xfId="0" applyNumberFormat="1" applyFill="1" applyBorder="1" applyAlignment="1">
      <alignment horizontal="center" vertical="center" wrapText="1"/>
    </xf>
    <xf numFmtId="9" fontId="0" fillId="2" borderId="5" xfId="0" applyNumberFormat="1" applyFill="1" applyBorder="1" applyAlignment="1">
      <alignment horizontal="center" vertical="center" wrapText="1"/>
    </xf>
    <xf numFmtId="9" fontId="0" fillId="2" borderId="24" xfId="0" applyNumberFormat="1" applyFill="1" applyBorder="1" applyAlignment="1">
      <alignment horizontal="center" vertical="center" wrapText="1"/>
    </xf>
    <xf numFmtId="0" fontId="1" fillId="0" borderId="40" xfId="0" applyFont="1" applyFill="1" applyBorder="1" applyAlignment="1">
      <alignment horizontal="center" vertical="center"/>
    </xf>
    <xf numFmtId="0" fontId="1" fillId="0" borderId="30" xfId="0" applyFont="1" applyFill="1" applyBorder="1" applyAlignment="1">
      <alignment horizontal="center" vertical="center"/>
    </xf>
    <xf numFmtId="0" fontId="1" fillId="0" borderId="34" xfId="0" applyFont="1" applyFill="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0" borderId="2" xfId="0" applyFont="1" applyBorder="1" applyAlignment="1">
      <alignment horizontal="center"/>
    </xf>
    <xf numFmtId="0" fontId="1" fillId="0" borderId="47" xfId="0" applyFont="1" applyBorder="1" applyAlignment="1">
      <alignment horizontal="center" vertical="center"/>
    </xf>
    <xf numFmtId="0" fontId="1" fillId="0" borderId="48" xfId="0" applyFont="1" applyBorder="1" applyAlignment="1">
      <alignment horizontal="center" vertical="center"/>
    </xf>
    <xf numFmtId="0" fontId="1" fillId="0" borderId="49" xfId="0" applyFont="1" applyBorder="1" applyAlignment="1">
      <alignment horizontal="center" vertical="center"/>
    </xf>
    <xf numFmtId="9" fontId="0" fillId="4" borderId="9" xfId="0" applyNumberFormat="1" applyFill="1" applyBorder="1" applyAlignment="1">
      <alignment horizontal="center" vertical="center"/>
    </xf>
    <xf numFmtId="0" fontId="0" fillId="4" borderId="10" xfId="0" applyFill="1" applyBorder="1" applyAlignment="1">
      <alignment horizontal="center" vertical="center"/>
    </xf>
    <xf numFmtId="0" fontId="1" fillId="0" borderId="40" xfId="0" applyFont="1" applyBorder="1" applyAlignment="1">
      <alignment horizontal="center" vertical="center"/>
    </xf>
    <xf numFmtId="0" fontId="1" fillId="0" borderId="30" xfId="0" applyFont="1" applyBorder="1" applyAlignment="1">
      <alignment horizontal="center" vertical="center"/>
    </xf>
    <xf numFmtId="0" fontId="1" fillId="0" borderId="33" xfId="0" applyFont="1" applyBorder="1" applyAlignment="1">
      <alignment horizontal="center" vertical="center" wrapText="1"/>
    </xf>
    <xf numFmtId="0" fontId="1" fillId="0" borderId="50"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2" xfId="0" applyFont="1" applyBorder="1" applyAlignment="1">
      <alignment horizontal="center" vertical="center"/>
    </xf>
    <xf numFmtId="0" fontId="1" fillId="0" borderId="37" xfId="0" applyFont="1" applyBorder="1" applyAlignment="1">
      <alignment horizontal="center"/>
    </xf>
    <xf numFmtId="0" fontId="1" fillId="0" borderId="38" xfId="0" applyFont="1" applyBorder="1" applyAlignment="1">
      <alignment horizontal="center"/>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1" xfId="0" applyFont="1" applyBorder="1" applyAlignment="1">
      <alignment horizontal="center" vertical="top" wrapText="1"/>
    </xf>
    <xf numFmtId="0" fontId="2" fillId="0" borderId="6" xfId="0" applyFont="1" applyBorder="1" applyAlignment="1">
      <alignment horizontal="center" vertical="top" wrapText="1"/>
    </xf>
    <xf numFmtId="0" fontId="2" fillId="0" borderId="12" xfId="0" applyFont="1" applyBorder="1" applyAlignment="1">
      <alignment horizontal="center" vertical="top" wrapText="1"/>
    </xf>
    <xf numFmtId="0" fontId="0" fillId="0" borderId="29" xfId="0" applyBorder="1" applyAlignment="1">
      <alignment horizontal="center"/>
    </xf>
    <xf numFmtId="0" fontId="0" fillId="0" borderId="30" xfId="0" applyBorder="1" applyAlignment="1">
      <alignment horizontal="center"/>
    </xf>
    <xf numFmtId="0" fontId="0" fillId="0" borderId="27" xfId="0" applyBorder="1" applyAlignment="1">
      <alignment horizontal="center"/>
    </xf>
    <xf numFmtId="0" fontId="0" fillId="0" borderId="6" xfId="0" applyBorder="1" applyAlignment="1">
      <alignment horizontal="center"/>
    </xf>
    <xf numFmtId="0" fontId="0" fillId="0" borderId="0" xfId="0" applyAlignment="1">
      <alignment horizontal="center"/>
    </xf>
    <xf numFmtId="49" fontId="10" fillId="0" borderId="58" xfId="0" applyNumberFormat="1" applyFont="1" applyBorder="1" applyAlignment="1" applyProtection="1">
      <alignment horizontal="left" vertical="center"/>
      <protection locked="0"/>
    </xf>
    <xf numFmtId="0" fontId="8" fillId="0" borderId="0" xfId="0" applyFont="1" applyAlignment="1">
      <alignment horizontal="left" vertical="center" wrapText="1"/>
    </xf>
    <xf numFmtId="3" fontId="15" fillId="0" borderId="0" xfId="0" quotePrefix="1" applyNumberFormat="1" applyFont="1" applyAlignment="1">
      <alignment horizontal="left" vertical="center" wrapText="1" indent="1"/>
    </xf>
    <xf numFmtId="0" fontId="14" fillId="0" borderId="0" xfId="0" applyFont="1" applyAlignment="1">
      <alignment horizontal="left" vertical="center" wrapText="1" indent="1"/>
    </xf>
    <xf numFmtId="0" fontId="54" fillId="13" borderId="11" xfId="0" applyFont="1" applyFill="1" applyBorder="1" applyAlignment="1" applyProtection="1">
      <alignment horizontal="center" vertical="center" wrapText="1"/>
      <protection locked="0"/>
    </xf>
    <xf numFmtId="0" fontId="54" fillId="13" borderId="16" xfId="0" applyFont="1" applyFill="1" applyBorder="1" applyAlignment="1" applyProtection="1">
      <alignment horizontal="center" vertical="center" wrapText="1"/>
      <protection locked="0"/>
    </xf>
    <xf numFmtId="0" fontId="54" fillId="13" borderId="6" xfId="0" applyFont="1" applyFill="1" applyBorder="1" applyAlignment="1" applyProtection="1">
      <alignment horizontal="center" vertical="center" wrapText="1"/>
      <protection locked="0"/>
    </xf>
    <xf numFmtId="0" fontId="54" fillId="13" borderId="12" xfId="0" applyFont="1" applyFill="1" applyBorder="1" applyAlignment="1" applyProtection="1">
      <alignment horizontal="center" vertical="center" wrapText="1"/>
      <protection locked="0"/>
    </xf>
    <xf numFmtId="0" fontId="54" fillId="13" borderId="8" xfId="0" applyFont="1" applyFill="1" applyBorder="1" applyAlignment="1" applyProtection="1">
      <alignment horizontal="center" vertical="center" wrapText="1"/>
      <protection locked="0"/>
    </xf>
    <xf numFmtId="0" fontId="54" fillId="13" borderId="14" xfId="0" applyFont="1" applyFill="1" applyBorder="1" applyAlignment="1" applyProtection="1">
      <alignment horizontal="center" vertical="center" wrapText="1"/>
      <protection locked="0"/>
    </xf>
    <xf numFmtId="0" fontId="36" fillId="11" borderId="91" xfId="0" applyFont="1" applyFill="1" applyBorder="1" applyAlignment="1" applyProtection="1">
      <alignment horizontal="center" vertical="center" wrapText="1"/>
      <protection locked="0"/>
    </xf>
    <xf numFmtId="0" fontId="36" fillId="11" borderId="11" xfId="0" applyFont="1" applyFill="1" applyBorder="1" applyAlignment="1" applyProtection="1">
      <alignment horizontal="center" vertical="center" wrapText="1"/>
      <protection locked="0"/>
    </xf>
    <xf numFmtId="3" fontId="0" fillId="0" borderId="71" xfId="0" applyNumberFormat="1" applyFont="1" applyFill="1" applyBorder="1" applyAlignment="1">
      <alignment horizontal="center" vertical="center"/>
    </xf>
    <xf numFmtId="3" fontId="0" fillId="0" borderId="70" xfId="0" applyNumberFormat="1" applyFont="1" applyFill="1" applyBorder="1" applyAlignment="1">
      <alignment horizontal="center" vertical="center"/>
    </xf>
    <xf numFmtId="3" fontId="0" fillId="0" borderId="59" xfId="0" applyNumberFormat="1" applyFont="1" applyFill="1" applyBorder="1" applyAlignment="1">
      <alignment horizontal="center" vertical="center"/>
    </xf>
    <xf numFmtId="0" fontId="26" fillId="0" borderId="71" xfId="0" applyFont="1" applyFill="1" applyBorder="1" applyAlignment="1" applyProtection="1">
      <alignment horizontal="center" vertical="center" wrapText="1"/>
      <protection locked="0"/>
    </xf>
    <xf numFmtId="0" fontId="26" fillId="0" borderId="70" xfId="0" applyFont="1" applyFill="1" applyBorder="1" applyAlignment="1" applyProtection="1">
      <alignment horizontal="center" vertical="center" wrapText="1"/>
      <protection locked="0"/>
    </xf>
    <xf numFmtId="0" fontId="26" fillId="0" borderId="59" xfId="0" applyFont="1" applyFill="1" applyBorder="1" applyAlignment="1" applyProtection="1">
      <alignment horizontal="center" vertical="center" wrapText="1"/>
      <protection locked="0"/>
    </xf>
    <xf numFmtId="167" fontId="35" fillId="0" borderId="95" xfId="2" applyNumberFormat="1" applyFont="1" applyFill="1" applyBorder="1" applyAlignment="1">
      <alignment horizontal="left" vertical="center"/>
    </xf>
    <xf numFmtId="167" fontId="35" fillId="0" borderId="68" xfId="2" applyNumberFormat="1" applyFont="1" applyFill="1" applyBorder="1" applyAlignment="1">
      <alignment horizontal="left" vertical="center"/>
    </xf>
    <xf numFmtId="167" fontId="35" fillId="0" borderId="69" xfId="2" applyNumberFormat="1" applyFont="1" applyFill="1" applyBorder="1" applyAlignment="1">
      <alignment horizontal="left" vertical="center"/>
    </xf>
    <xf numFmtId="0" fontId="47" fillId="13" borderId="61" xfId="0" applyFont="1" applyFill="1" applyBorder="1" applyAlignment="1" applyProtection="1">
      <alignment horizontal="center" vertical="center" wrapText="1"/>
      <protection locked="0"/>
    </xf>
    <xf numFmtId="0" fontId="47" fillId="13" borderId="62" xfId="0" applyFont="1" applyFill="1" applyBorder="1" applyAlignment="1" applyProtection="1">
      <alignment horizontal="center" vertical="center" wrapText="1"/>
      <protection locked="0"/>
    </xf>
    <xf numFmtId="0" fontId="25" fillId="0" borderId="96" xfId="0" applyFont="1" applyFill="1" applyBorder="1" applyAlignment="1" applyProtection="1">
      <alignment horizontal="left" vertical="center" wrapText="1"/>
      <protection locked="0"/>
    </xf>
    <xf numFmtId="0" fontId="25" fillId="0" borderId="97" xfId="0" applyFont="1" applyFill="1" applyBorder="1" applyAlignment="1" applyProtection="1">
      <alignment horizontal="left" vertical="center" wrapText="1"/>
      <protection locked="0"/>
    </xf>
    <xf numFmtId="0" fontId="25" fillId="0" borderId="98" xfId="0" applyFont="1" applyFill="1" applyBorder="1" applyAlignment="1" applyProtection="1">
      <alignment horizontal="left" vertical="center" wrapText="1"/>
      <protection locked="0"/>
    </xf>
    <xf numFmtId="0" fontId="47" fillId="13" borderId="61" xfId="0" applyFont="1" applyFill="1" applyBorder="1" applyAlignment="1">
      <alignment horizontal="center" vertical="center" wrapText="1"/>
    </xf>
    <xf numFmtId="0" fontId="47" fillId="13" borderId="62" xfId="0" applyFont="1" applyFill="1" applyBorder="1" applyAlignment="1">
      <alignment horizontal="center" vertical="center" wrapText="1"/>
    </xf>
    <xf numFmtId="3" fontId="0" fillId="9" borderId="70" xfId="0" applyNumberFormat="1" applyFill="1" applyBorder="1" applyAlignment="1" applyProtection="1">
      <alignment horizontal="center" vertical="center"/>
      <protection locked="0"/>
    </xf>
    <xf numFmtId="0" fontId="0" fillId="0" borderId="70" xfId="0" applyBorder="1"/>
    <xf numFmtId="0" fontId="0" fillId="0" borderId="59" xfId="0" applyBorder="1"/>
    <xf numFmtId="3" fontId="0" fillId="0" borderId="58" xfId="0" applyNumberFormat="1" applyFont="1" applyFill="1" applyBorder="1" applyAlignment="1">
      <alignment horizontal="center" vertical="center"/>
    </xf>
    <xf numFmtId="3" fontId="0" fillId="0" borderId="58" xfId="0" applyNumberFormat="1" applyFont="1" applyBorder="1" applyAlignment="1">
      <alignment horizontal="center" vertical="center"/>
    </xf>
    <xf numFmtId="3" fontId="0" fillId="0" borderId="59" xfId="0" applyNumberFormat="1" applyFont="1" applyBorder="1" applyAlignment="1">
      <alignment horizontal="center" vertical="center"/>
    </xf>
    <xf numFmtId="49" fontId="0" fillId="0" borderId="82" xfId="0" applyNumberFormat="1" applyFill="1" applyBorder="1" applyAlignment="1" applyProtection="1">
      <alignment horizontal="center" vertical="center"/>
      <protection locked="0"/>
    </xf>
    <xf numFmtId="49" fontId="0" fillId="0" borderId="75" xfId="0" applyNumberFormat="1" applyFill="1" applyBorder="1" applyAlignment="1" applyProtection="1">
      <alignment horizontal="center" vertical="center"/>
      <protection locked="0"/>
    </xf>
    <xf numFmtId="49" fontId="0" fillId="0" borderId="59" xfId="0" applyNumberFormat="1" applyFill="1" applyBorder="1" applyAlignment="1" applyProtection="1">
      <alignment horizontal="center" vertical="center"/>
      <protection locked="0"/>
    </xf>
    <xf numFmtId="49" fontId="0" fillId="0" borderId="58" xfId="0" applyNumberFormat="1" applyFill="1" applyBorder="1" applyAlignment="1" applyProtection="1">
      <alignment horizontal="center" vertical="center"/>
      <protection locked="0"/>
    </xf>
    <xf numFmtId="3" fontId="16" fillId="0" borderId="61" xfId="0" applyNumberFormat="1" applyFont="1" applyFill="1" applyBorder="1" applyAlignment="1">
      <alignment horizontal="center" vertical="center"/>
    </xf>
    <xf numFmtId="3" fontId="16" fillId="0" borderId="58" xfId="0" applyNumberFormat="1" applyFont="1" applyFill="1" applyBorder="1" applyAlignment="1">
      <alignment horizontal="center" vertical="center"/>
    </xf>
    <xf numFmtId="0" fontId="16" fillId="0" borderId="61" xfId="0" applyFont="1" applyFill="1" applyBorder="1" applyAlignment="1">
      <alignment horizontal="center" vertical="center"/>
    </xf>
    <xf numFmtId="0" fontId="16" fillId="0" borderId="58" xfId="0" applyFont="1" applyFill="1" applyBorder="1" applyAlignment="1">
      <alignment horizontal="center" vertical="center"/>
    </xf>
    <xf numFmtId="0" fontId="16" fillId="0" borderId="65" xfId="0" applyFont="1" applyFill="1" applyBorder="1" applyAlignment="1">
      <alignment horizontal="center" vertical="center"/>
    </xf>
    <xf numFmtId="0" fontId="16" fillId="0" borderId="75" xfId="0" applyFont="1" applyFill="1" applyBorder="1" applyAlignment="1">
      <alignment horizontal="center" vertical="center"/>
    </xf>
    <xf numFmtId="0" fontId="47" fillId="13" borderId="63" xfId="0" applyFont="1" applyFill="1" applyBorder="1" applyAlignment="1">
      <alignment horizontal="center" vertical="center"/>
    </xf>
    <xf numFmtId="0" fontId="47" fillId="13" borderId="64" xfId="0" applyFont="1" applyFill="1" applyBorder="1" applyAlignment="1">
      <alignment horizontal="center" vertical="center"/>
    </xf>
    <xf numFmtId="0" fontId="0" fillId="0" borderId="81" xfId="0" applyFill="1" applyBorder="1" applyAlignment="1">
      <alignment horizontal="left" vertical="center" wrapText="1"/>
    </xf>
    <xf numFmtId="0" fontId="0" fillId="0" borderId="103" xfId="0" applyFont="1" applyFill="1" applyBorder="1" applyAlignment="1">
      <alignment horizontal="left" vertical="center" wrapText="1"/>
    </xf>
    <xf numFmtId="0" fontId="0" fillId="0" borderId="79" xfId="0" applyFont="1" applyFill="1" applyBorder="1" applyAlignment="1">
      <alignment horizontal="left" vertical="center" wrapText="1"/>
    </xf>
    <xf numFmtId="0" fontId="0" fillId="0" borderId="78" xfId="0" applyFill="1" applyBorder="1" applyAlignment="1">
      <alignment horizontal="left" vertical="center" wrapText="1"/>
    </xf>
    <xf numFmtId="0" fontId="1" fillId="0" borderId="75" xfId="0" applyFont="1" applyFill="1" applyBorder="1" applyAlignment="1" applyProtection="1">
      <alignment horizontal="left" vertical="center"/>
      <protection locked="0"/>
    </xf>
    <xf numFmtId="0" fontId="1" fillId="0" borderId="58" xfId="0" applyFont="1" applyFill="1" applyBorder="1" applyAlignment="1" applyProtection="1">
      <alignment horizontal="left" vertical="center"/>
      <protection locked="0"/>
    </xf>
    <xf numFmtId="3" fontId="0" fillId="0" borderId="71" xfId="0" applyNumberFormat="1" applyFont="1" applyFill="1" applyBorder="1" applyAlignment="1" applyProtection="1">
      <alignment horizontal="center" vertical="center" wrapText="1"/>
      <protection locked="0"/>
    </xf>
    <xf numFmtId="3" fontId="0" fillId="0" borderId="70" xfId="0" applyNumberFormat="1" applyFont="1" applyFill="1" applyBorder="1" applyAlignment="1" applyProtection="1">
      <alignment horizontal="center" vertical="center" wrapText="1"/>
      <protection locked="0"/>
    </xf>
    <xf numFmtId="3" fontId="0" fillId="0" borderId="59" xfId="0" applyNumberFormat="1" applyFont="1" applyFill="1" applyBorder="1" applyAlignment="1" applyProtection="1">
      <alignment horizontal="center" vertical="center" wrapText="1"/>
      <protection locked="0"/>
    </xf>
    <xf numFmtId="0" fontId="0" fillId="0" borderId="71" xfId="0" applyFill="1" applyBorder="1" applyAlignment="1" applyProtection="1">
      <alignment horizontal="center" vertical="center" wrapText="1"/>
      <protection locked="0"/>
    </xf>
    <xf numFmtId="0" fontId="0" fillId="0" borderId="70" xfId="0" applyFill="1" applyBorder="1" applyAlignment="1" applyProtection="1">
      <alignment horizontal="center" vertical="center" wrapText="1"/>
      <protection locked="0"/>
    </xf>
    <xf numFmtId="0" fontId="0" fillId="0" borderId="59" xfId="0" applyFill="1" applyBorder="1" applyAlignment="1" applyProtection="1">
      <alignment horizontal="center" vertical="center" wrapText="1"/>
      <protection locked="0"/>
    </xf>
    <xf numFmtId="0" fontId="47" fillId="13" borderId="61" xfId="1" applyFont="1" applyFill="1" applyBorder="1" applyAlignment="1" applyProtection="1">
      <alignment horizontal="center" vertical="center" wrapText="1"/>
      <protection locked="0"/>
    </xf>
    <xf numFmtId="0" fontId="47" fillId="13" borderId="62" xfId="1" applyFont="1" applyFill="1" applyBorder="1" applyAlignment="1" applyProtection="1">
      <alignment horizontal="center" vertical="center" wrapText="1"/>
      <protection locked="0"/>
    </xf>
    <xf numFmtId="3" fontId="0" fillId="0" borderId="60" xfId="0" applyNumberFormat="1" applyFont="1" applyFill="1" applyBorder="1" applyAlignment="1">
      <alignment horizontal="center" vertical="center" wrapText="1"/>
    </xf>
    <xf numFmtId="3" fontId="0" fillId="0" borderId="59" xfId="0" applyNumberFormat="1" applyFont="1" applyFill="1" applyBorder="1" applyAlignment="1">
      <alignment horizontal="center" vertical="center" wrapText="1"/>
    </xf>
    <xf numFmtId="3" fontId="0" fillId="0" borderId="60" xfId="0" applyNumberFormat="1" applyFont="1" applyFill="1" applyBorder="1" applyAlignment="1" applyProtection="1">
      <alignment horizontal="center" vertical="center" wrapText="1"/>
      <protection locked="0"/>
    </xf>
    <xf numFmtId="3" fontId="0" fillId="0" borderId="58" xfId="0" applyNumberFormat="1" applyFont="1" applyFill="1" applyBorder="1" applyAlignment="1" applyProtection="1">
      <alignment horizontal="center" vertical="center" wrapText="1"/>
      <protection locked="0"/>
    </xf>
    <xf numFmtId="3" fontId="0" fillId="0" borderId="58" xfId="0" applyNumberFormat="1" applyFont="1" applyFill="1" applyBorder="1" applyAlignment="1">
      <alignment horizontal="center" vertical="center" wrapText="1"/>
    </xf>
    <xf numFmtId="3" fontId="0" fillId="0" borderId="61" xfId="0" applyNumberFormat="1" applyFont="1" applyFill="1" applyBorder="1" applyAlignment="1" applyProtection="1">
      <alignment horizontal="center" vertical="center" wrapText="1"/>
      <protection locked="0"/>
    </xf>
    <xf numFmtId="0" fontId="0" fillId="0" borderId="60" xfId="0" applyBorder="1" applyAlignment="1">
      <alignment horizontal="center" vertical="center"/>
    </xf>
    <xf numFmtId="0" fontId="0" fillId="0" borderId="70" xfId="0" applyFont="1" applyBorder="1" applyAlignment="1">
      <alignment horizontal="center" vertical="center"/>
    </xf>
    <xf numFmtId="0" fontId="0" fillId="0" borderId="59" xfId="0" applyFont="1" applyBorder="1" applyAlignment="1">
      <alignment horizontal="center" vertical="center"/>
    </xf>
    <xf numFmtId="3" fontId="0" fillId="0" borderId="81" xfId="0" applyNumberFormat="1" applyBorder="1" applyAlignment="1">
      <alignment horizontal="left" vertical="center" wrapText="1"/>
    </xf>
    <xf numFmtId="3" fontId="0" fillId="0" borderId="103" xfId="0" applyNumberFormat="1" applyFont="1" applyBorder="1" applyAlignment="1">
      <alignment horizontal="left" vertical="center" wrapText="1"/>
    </xf>
    <xf numFmtId="3" fontId="0" fillId="0" borderId="79" xfId="0" applyNumberFormat="1" applyFont="1" applyBorder="1" applyAlignment="1">
      <alignment horizontal="left" vertical="center" wrapText="1"/>
    </xf>
    <xf numFmtId="0" fontId="30" fillId="0" borderId="95" xfId="0" applyFont="1" applyFill="1" applyBorder="1" applyAlignment="1" applyProtection="1">
      <alignment horizontal="left" vertical="center"/>
      <protection locked="0"/>
    </xf>
    <xf numFmtId="0" fontId="30" fillId="0" borderId="68" xfId="0" applyFont="1" applyFill="1" applyBorder="1" applyAlignment="1" applyProtection="1">
      <alignment horizontal="left" vertical="center"/>
      <protection locked="0"/>
    </xf>
    <xf numFmtId="0" fontId="30" fillId="0" borderId="69" xfId="0" applyFont="1" applyFill="1" applyBorder="1" applyAlignment="1" applyProtection="1">
      <alignment horizontal="left" vertical="center"/>
      <protection locked="0"/>
    </xf>
    <xf numFmtId="0" fontId="1" fillId="0" borderId="96" xfId="0" applyFont="1" applyFill="1" applyBorder="1" applyAlignment="1" applyProtection="1">
      <alignment horizontal="left" vertical="center" wrapText="1"/>
      <protection locked="0"/>
    </xf>
    <xf numFmtId="0" fontId="1" fillId="0" borderId="97" xfId="0" applyFont="1" applyFill="1" applyBorder="1" applyAlignment="1" applyProtection="1">
      <alignment horizontal="left" vertical="center" wrapText="1"/>
      <protection locked="0"/>
    </xf>
    <xf numFmtId="0" fontId="1" fillId="0" borderId="98" xfId="0" applyFont="1" applyFill="1" applyBorder="1" applyAlignment="1" applyProtection="1">
      <alignment horizontal="left" vertical="center" wrapText="1"/>
      <protection locked="0"/>
    </xf>
    <xf numFmtId="167" fontId="30" fillId="0" borderId="95" xfId="2" applyNumberFormat="1" applyFont="1" applyFill="1" applyBorder="1" applyAlignment="1">
      <alignment horizontal="left" vertical="center"/>
    </xf>
    <xf numFmtId="167" fontId="30" fillId="0" borderId="68" xfId="2" applyNumberFormat="1" applyFont="1" applyFill="1" applyBorder="1" applyAlignment="1">
      <alignment horizontal="left" vertical="center"/>
    </xf>
    <xf numFmtId="167" fontId="30" fillId="0" borderId="69" xfId="2" applyNumberFormat="1" applyFont="1" applyFill="1" applyBorder="1" applyAlignment="1">
      <alignment horizontal="left" vertical="center"/>
    </xf>
    <xf numFmtId="0" fontId="1" fillId="0" borderId="95" xfId="0" applyFont="1" applyFill="1" applyBorder="1" applyAlignment="1" applyProtection="1">
      <alignment horizontal="left" vertical="center"/>
      <protection locked="0"/>
    </xf>
    <xf numFmtId="0" fontId="1" fillId="0" borderId="68" xfId="0" applyFont="1" applyFill="1" applyBorder="1" applyAlignment="1" applyProtection="1">
      <alignment horizontal="left" vertical="center"/>
      <protection locked="0"/>
    </xf>
    <xf numFmtId="0" fontId="1" fillId="0" borderId="69" xfId="0" applyFont="1" applyFill="1" applyBorder="1" applyAlignment="1" applyProtection="1">
      <alignment horizontal="left" vertical="center"/>
      <protection locked="0"/>
    </xf>
    <xf numFmtId="0" fontId="25" fillId="0" borderId="95" xfId="0" applyFont="1" applyFill="1" applyBorder="1" applyAlignment="1" applyProtection="1">
      <alignment horizontal="left" vertical="center"/>
      <protection locked="0"/>
    </xf>
    <xf numFmtId="0" fontId="25" fillId="0" borderId="68" xfId="0" applyFont="1" applyFill="1" applyBorder="1" applyAlignment="1" applyProtection="1">
      <alignment horizontal="left" vertical="center"/>
      <protection locked="0"/>
    </xf>
    <xf numFmtId="0" fontId="25" fillId="0" borderId="69" xfId="0" applyFont="1" applyFill="1" applyBorder="1" applyAlignment="1" applyProtection="1">
      <alignment horizontal="left" vertical="center"/>
      <protection locked="0"/>
    </xf>
    <xf numFmtId="49" fontId="47" fillId="13" borderId="61" xfId="0" applyNumberFormat="1" applyFont="1" applyFill="1" applyBorder="1" applyAlignment="1" applyProtection="1">
      <alignment horizontal="center" vertical="center" wrapText="1"/>
      <protection locked="0"/>
    </xf>
    <xf numFmtId="49" fontId="47" fillId="13" borderId="62" xfId="0" applyNumberFormat="1" applyFont="1" applyFill="1" applyBorder="1" applyAlignment="1" applyProtection="1">
      <alignment horizontal="center" vertical="center" wrapText="1"/>
      <protection locked="0"/>
    </xf>
    <xf numFmtId="3" fontId="0" fillId="0" borderId="61" xfId="0" applyNumberFormat="1" applyFill="1" applyBorder="1" applyAlignment="1" applyProtection="1">
      <alignment horizontal="center" vertical="center" wrapText="1"/>
      <protection locked="0"/>
    </xf>
    <xf numFmtId="3" fontId="0" fillId="0" borderId="58" xfId="0" applyNumberFormat="1" applyFill="1" applyBorder="1" applyAlignment="1" applyProtection="1">
      <alignment horizontal="center" vertical="center" wrapText="1"/>
      <protection locked="0"/>
    </xf>
    <xf numFmtId="49" fontId="47" fillId="13" borderId="80" xfId="0" applyNumberFormat="1" applyFont="1" applyFill="1" applyBorder="1" applyAlignment="1" applyProtection="1">
      <alignment horizontal="center" vertical="center" wrapText="1"/>
      <protection locked="0"/>
    </xf>
    <xf numFmtId="49" fontId="47" fillId="13" borderId="104" xfId="0" applyNumberFormat="1" applyFont="1" applyFill="1" applyBorder="1" applyAlignment="1" applyProtection="1">
      <alignment horizontal="center" vertical="center" wrapText="1"/>
      <protection locked="0"/>
    </xf>
    <xf numFmtId="0" fontId="47" fillId="13" borderId="71" xfId="0" applyFont="1" applyFill="1" applyBorder="1" applyAlignment="1">
      <alignment horizontal="center" vertical="center"/>
    </xf>
    <xf numFmtId="0" fontId="47" fillId="13" borderId="100" xfId="0" applyFont="1" applyFill="1" applyBorder="1" applyAlignment="1">
      <alignment horizontal="center" vertical="center"/>
    </xf>
    <xf numFmtId="3" fontId="0" fillId="0" borderId="78" xfId="0" applyNumberFormat="1" applyBorder="1" applyAlignment="1">
      <alignment horizontal="left" vertical="center" wrapText="1"/>
    </xf>
    <xf numFmtId="0" fontId="0" fillId="0" borderId="63" xfId="0" applyFill="1" applyBorder="1" applyAlignment="1">
      <alignment horizontal="left" vertical="center" wrapText="1"/>
    </xf>
    <xf numFmtId="0" fontId="0" fillId="0" borderId="76" xfId="0" applyFill="1" applyBorder="1" applyAlignment="1">
      <alignment horizontal="left" vertical="center" wrapText="1"/>
    </xf>
    <xf numFmtId="3" fontId="0" fillId="0" borderId="63" xfId="0" applyNumberFormat="1" applyBorder="1" applyAlignment="1">
      <alignment horizontal="left" vertical="center" wrapText="1"/>
    </xf>
    <xf numFmtId="3" fontId="0" fillId="0" borderId="76" xfId="0" applyNumberFormat="1" applyFont="1" applyBorder="1" applyAlignment="1">
      <alignment horizontal="left" vertical="center" wrapText="1"/>
    </xf>
    <xf numFmtId="3" fontId="0" fillId="0" borderId="76" xfId="0" applyNumberFormat="1" applyBorder="1" applyAlignment="1">
      <alignment horizontal="left" vertical="center" wrapText="1"/>
    </xf>
    <xf numFmtId="0" fontId="16" fillId="0" borderId="81" xfId="0" applyFont="1" applyFill="1" applyBorder="1" applyAlignment="1">
      <alignment horizontal="left" vertical="center" wrapText="1"/>
    </xf>
    <xf numFmtId="0" fontId="16" fillId="0" borderId="103" xfId="0" applyFont="1" applyFill="1" applyBorder="1" applyAlignment="1">
      <alignment horizontal="left" vertical="center" wrapText="1"/>
    </xf>
    <xf numFmtId="0" fontId="16" fillId="0" borderId="79" xfId="0" applyFont="1" applyFill="1" applyBorder="1" applyAlignment="1">
      <alignment horizontal="left" vertical="center" wrapText="1"/>
    </xf>
    <xf numFmtId="3" fontId="0" fillId="0" borderId="61" xfId="0" applyNumberFormat="1" applyFont="1" applyFill="1" applyBorder="1" applyAlignment="1">
      <alignment horizontal="center" vertical="center"/>
    </xf>
    <xf numFmtId="0" fontId="0" fillId="0" borderId="65" xfId="0" applyFill="1" applyBorder="1" applyAlignment="1" applyProtection="1">
      <alignment horizontal="center" vertical="center" wrapText="1"/>
      <protection locked="0"/>
    </xf>
    <xf numFmtId="0" fontId="0" fillId="0" borderId="82" xfId="0" applyFill="1" applyBorder="1" applyAlignment="1" applyProtection="1">
      <alignment horizontal="center" vertical="center" wrapText="1"/>
      <protection locked="0"/>
    </xf>
    <xf numFmtId="0" fontId="0" fillId="0" borderId="61" xfId="0" applyFill="1" applyBorder="1" applyAlignment="1" applyProtection="1">
      <alignment horizontal="center" vertical="center" wrapText="1"/>
      <protection locked="0"/>
    </xf>
    <xf numFmtId="0" fontId="0" fillId="0" borderId="79" xfId="0" applyFill="1" applyBorder="1" applyAlignment="1">
      <alignment horizontal="left" vertical="center" wrapText="1"/>
    </xf>
    <xf numFmtId="3" fontId="0" fillId="0" borderId="65" xfId="0" applyNumberFormat="1" applyFill="1" applyBorder="1" applyAlignment="1" applyProtection="1">
      <alignment horizontal="center" vertical="center" wrapText="1"/>
      <protection locked="0"/>
    </xf>
    <xf numFmtId="3" fontId="0" fillId="0" borderId="75" xfId="0" applyNumberFormat="1" applyFill="1" applyBorder="1" applyAlignment="1" applyProtection="1">
      <alignment horizontal="center" vertical="center" wrapText="1"/>
      <protection locked="0"/>
    </xf>
    <xf numFmtId="49" fontId="47" fillId="13" borderId="65" xfId="0" applyNumberFormat="1" applyFont="1" applyFill="1" applyBorder="1" applyAlignment="1" applyProtection="1">
      <alignment horizontal="center" vertical="center" wrapText="1"/>
      <protection locked="0"/>
    </xf>
    <xf numFmtId="49" fontId="47" fillId="13" borderId="66" xfId="0" applyNumberFormat="1" applyFont="1" applyFill="1" applyBorder="1" applyAlignment="1" applyProtection="1">
      <alignment horizontal="center" vertical="center" wrapText="1"/>
      <protection locked="0"/>
    </xf>
    <xf numFmtId="49" fontId="47" fillId="13" borderId="71" xfId="0" applyNumberFormat="1" applyFont="1" applyFill="1" applyBorder="1" applyAlignment="1" applyProtection="1">
      <alignment horizontal="center" vertical="center" wrapText="1"/>
      <protection locked="0"/>
    </xf>
    <xf numFmtId="49" fontId="47" fillId="13" borderId="100" xfId="0" applyNumberFormat="1" applyFont="1" applyFill="1" applyBorder="1" applyAlignment="1" applyProtection="1">
      <alignment horizontal="center" vertical="center" wrapText="1"/>
      <protection locked="0"/>
    </xf>
    <xf numFmtId="49" fontId="0" fillId="0" borderId="61" xfId="0" applyNumberFormat="1" applyFill="1" applyBorder="1" applyAlignment="1" applyProtection="1">
      <alignment horizontal="center" vertical="center" wrapText="1"/>
      <protection locked="0"/>
    </xf>
    <xf numFmtId="49" fontId="0" fillId="0" borderId="58" xfId="0" applyNumberFormat="1" applyFill="1" applyBorder="1" applyAlignment="1" applyProtection="1">
      <alignment horizontal="center" vertical="center" wrapText="1"/>
      <protection locked="0"/>
    </xf>
    <xf numFmtId="49" fontId="0" fillId="0" borderId="75" xfId="0" applyNumberFormat="1" applyFont="1" applyFill="1" applyBorder="1" applyAlignment="1" applyProtection="1">
      <alignment horizontal="center" vertical="center" wrapText="1"/>
      <protection locked="0"/>
    </xf>
    <xf numFmtId="0" fontId="0" fillId="0" borderId="76" xfId="0" applyFont="1" applyFill="1" applyBorder="1" applyAlignment="1">
      <alignment horizontal="left" vertical="center" wrapText="1"/>
    </xf>
    <xf numFmtId="0" fontId="0" fillId="0" borderId="74" xfId="0" applyFill="1" applyBorder="1" applyAlignment="1">
      <alignment horizontal="left" vertical="center" wrapText="1"/>
    </xf>
    <xf numFmtId="0" fontId="0" fillId="0" borderId="67" xfId="0" applyFont="1" applyFill="1" applyBorder="1" applyAlignment="1">
      <alignment horizontal="left" vertical="center" wrapText="1"/>
    </xf>
    <xf numFmtId="0" fontId="0" fillId="0" borderId="81" xfId="0" applyBorder="1" applyAlignment="1">
      <alignment horizontal="left" vertical="center" wrapText="1"/>
    </xf>
    <xf numFmtId="0" fontId="0" fillId="0" borderId="103" xfId="0" applyBorder="1" applyAlignment="1">
      <alignment horizontal="left" vertical="center" wrapText="1"/>
    </xf>
    <xf numFmtId="0" fontId="0" fillId="0" borderId="79" xfId="0" applyBorder="1" applyAlignment="1">
      <alignment horizontal="left" vertical="center" wrapText="1"/>
    </xf>
    <xf numFmtId="49" fontId="16" fillId="0" borderId="61" xfId="0" applyNumberFormat="1" applyFont="1" applyFill="1" applyBorder="1" applyAlignment="1" applyProtection="1">
      <alignment horizontal="center" vertical="center" wrapText="1"/>
      <protection locked="0"/>
    </xf>
    <xf numFmtId="49" fontId="16" fillId="0" borderId="58" xfId="0" applyNumberFormat="1" applyFont="1" applyFill="1" applyBorder="1" applyAlignment="1" applyProtection="1">
      <alignment horizontal="center" vertical="center" wrapText="1"/>
      <protection locked="0"/>
    </xf>
    <xf numFmtId="3" fontId="0" fillId="0" borderId="58" xfId="0" applyNumberFormat="1" applyFont="1" applyFill="1" applyBorder="1" applyAlignment="1" applyProtection="1">
      <alignment horizontal="center" vertical="center"/>
      <protection locked="0"/>
    </xf>
    <xf numFmtId="3" fontId="0" fillId="0" borderId="60" xfId="0" applyNumberFormat="1" applyFill="1" applyBorder="1" applyAlignment="1">
      <alignment horizontal="center" vertical="center"/>
    </xf>
    <xf numFmtId="3" fontId="0" fillId="0" borderId="59" xfId="0" applyNumberFormat="1" applyFill="1" applyBorder="1" applyAlignment="1">
      <alignment horizontal="center" vertical="center"/>
    </xf>
    <xf numFmtId="3" fontId="0" fillId="0" borderId="60" xfId="0" applyNumberFormat="1" applyFont="1" applyFill="1" applyBorder="1" applyAlignment="1">
      <alignment horizontal="center" vertical="center"/>
    </xf>
    <xf numFmtId="0" fontId="0" fillId="0" borderId="78" xfId="0" applyBorder="1" applyAlignment="1">
      <alignment horizontal="left" vertical="center" wrapText="1"/>
    </xf>
    <xf numFmtId="0" fontId="0" fillId="0" borderId="63" xfId="0" applyBorder="1" applyAlignment="1">
      <alignment horizontal="left" vertical="center" wrapText="1"/>
    </xf>
    <xf numFmtId="0" fontId="0" fillId="0" borderId="76" xfId="0" applyFont="1" applyBorder="1" applyAlignment="1">
      <alignment horizontal="left" vertical="center" wrapText="1"/>
    </xf>
    <xf numFmtId="2" fontId="0" fillId="0" borderId="71" xfId="0" applyNumberFormat="1" applyFont="1" applyBorder="1" applyAlignment="1" applyProtection="1">
      <alignment horizontal="center" vertical="center"/>
      <protection locked="0"/>
    </xf>
    <xf numFmtId="2" fontId="0" fillId="0" borderId="70" xfId="0" applyNumberFormat="1" applyFont="1" applyBorder="1" applyAlignment="1" applyProtection="1">
      <alignment horizontal="center" vertical="center"/>
      <protection locked="0"/>
    </xf>
    <xf numFmtId="2" fontId="0" fillId="0" borderId="59" xfId="0" applyNumberFormat="1" applyFont="1" applyBorder="1" applyAlignment="1" applyProtection="1">
      <alignment horizontal="center" vertical="center"/>
      <protection locked="0"/>
    </xf>
    <xf numFmtId="49" fontId="0" fillId="0" borderId="70" xfId="0" applyNumberFormat="1" applyFill="1" applyBorder="1" applyAlignment="1" applyProtection="1">
      <alignment horizontal="center" vertical="center"/>
      <protection locked="0"/>
    </xf>
    <xf numFmtId="49" fontId="0" fillId="0" borderId="70" xfId="0" applyNumberFormat="1" applyFont="1" applyFill="1" applyBorder="1" applyAlignment="1" applyProtection="1">
      <alignment horizontal="center" vertical="center"/>
      <protection locked="0"/>
    </xf>
    <xf numFmtId="49" fontId="0" fillId="0" borderId="59" xfId="0" applyNumberFormat="1" applyFont="1" applyFill="1" applyBorder="1" applyAlignment="1" applyProtection="1">
      <alignment horizontal="center" vertical="center"/>
      <protection locked="0"/>
    </xf>
    <xf numFmtId="49" fontId="0" fillId="0" borderId="58" xfId="0" applyNumberFormat="1" applyFont="1" applyFill="1" applyBorder="1" applyAlignment="1" applyProtection="1">
      <alignment horizontal="center" vertical="center"/>
      <protection locked="0"/>
    </xf>
    <xf numFmtId="3" fontId="0" fillId="0" borderId="61" xfId="0" applyNumberFormat="1" applyFont="1" applyFill="1" applyBorder="1" applyAlignment="1">
      <alignment horizontal="center" vertical="center" wrapText="1"/>
    </xf>
    <xf numFmtId="49" fontId="29" fillId="0" borderId="58" xfId="0" applyNumberFormat="1" applyFont="1" applyFill="1" applyBorder="1" applyAlignment="1" applyProtection="1">
      <alignment horizontal="center" vertical="center" wrapText="1"/>
      <protection locked="0"/>
    </xf>
    <xf numFmtId="3" fontId="16" fillId="0" borderId="61" xfId="0" applyNumberFormat="1" applyFont="1" applyFill="1" applyBorder="1" applyAlignment="1" applyProtection="1">
      <alignment horizontal="center" vertical="center" wrapText="1"/>
      <protection locked="0"/>
    </xf>
    <xf numFmtId="3" fontId="16" fillId="0" borderId="58" xfId="0" applyNumberFormat="1" applyFont="1" applyFill="1" applyBorder="1" applyAlignment="1" applyProtection="1">
      <alignment horizontal="center" vertical="center" wrapText="1"/>
      <protection locked="0"/>
    </xf>
    <xf numFmtId="0" fontId="29" fillId="0" borderId="58" xfId="0" applyFont="1" applyFill="1" applyBorder="1" applyAlignment="1" applyProtection="1">
      <alignment horizontal="center" vertical="center" wrapText="1"/>
      <protection locked="0"/>
    </xf>
    <xf numFmtId="3" fontId="16" fillId="0" borderId="61" xfId="0" applyNumberFormat="1" applyFont="1" applyFill="1" applyBorder="1" applyAlignment="1">
      <alignment horizontal="center" vertical="center" wrapText="1"/>
    </xf>
    <xf numFmtId="3" fontId="16" fillId="0" borderId="58" xfId="0" applyNumberFormat="1" applyFont="1" applyFill="1" applyBorder="1" applyAlignment="1">
      <alignment horizontal="center" vertical="center" wrapText="1"/>
    </xf>
    <xf numFmtId="3" fontId="0" fillId="0" borderId="59" xfId="0" applyNumberFormat="1" applyFont="1" applyFill="1" applyBorder="1" applyAlignment="1" applyProtection="1">
      <alignment horizontal="center" vertical="center"/>
      <protection locked="0"/>
    </xf>
    <xf numFmtId="49" fontId="0" fillId="0" borderId="59" xfId="0" applyNumberFormat="1" applyFill="1" applyBorder="1" applyAlignment="1" applyProtection="1">
      <alignment horizontal="center" vertical="center" wrapText="1"/>
      <protection locked="0"/>
    </xf>
    <xf numFmtId="0" fontId="26" fillId="0" borderId="58" xfId="0" applyFont="1" applyFill="1" applyBorder="1" applyAlignment="1" applyProtection="1">
      <alignment horizontal="center" vertical="center" wrapText="1"/>
      <protection locked="0"/>
    </xf>
    <xf numFmtId="3" fontId="0" fillId="0" borderId="61" xfId="0" applyNumberFormat="1" applyFill="1" applyBorder="1" applyAlignment="1" applyProtection="1">
      <alignment horizontal="center" vertical="center"/>
      <protection locked="0"/>
    </xf>
    <xf numFmtId="3" fontId="0" fillId="0" borderId="58" xfId="0" applyNumberFormat="1" applyFill="1" applyBorder="1" applyAlignment="1" applyProtection="1">
      <alignment horizontal="center" vertical="center"/>
      <protection locked="0"/>
    </xf>
    <xf numFmtId="2" fontId="26" fillId="0" borderId="60" xfId="0" applyNumberFormat="1" applyFont="1" applyFill="1" applyBorder="1" applyAlignment="1" applyProtection="1">
      <alignment horizontal="center" vertical="center" wrapText="1"/>
      <protection locked="0"/>
    </xf>
    <xf numFmtId="2" fontId="26" fillId="0" borderId="70" xfId="0" applyNumberFormat="1" applyFont="1" applyFill="1" applyBorder="1" applyAlignment="1" applyProtection="1">
      <alignment horizontal="center" vertical="center" wrapText="1"/>
      <protection locked="0"/>
    </xf>
    <xf numFmtId="2" fontId="26" fillId="0" borderId="59" xfId="0" applyNumberFormat="1" applyFont="1" applyFill="1" applyBorder="1" applyAlignment="1" applyProtection="1">
      <alignment horizontal="center" vertical="center" wrapText="1"/>
      <protection locked="0"/>
    </xf>
    <xf numFmtId="3" fontId="0" fillId="0" borderId="60" xfId="0" applyNumberFormat="1" applyFill="1" applyBorder="1" applyAlignment="1" applyProtection="1">
      <alignment horizontal="center" vertical="center"/>
      <protection locked="0"/>
    </xf>
    <xf numFmtId="3" fontId="0" fillId="0" borderId="59" xfId="0" applyNumberFormat="1" applyFill="1" applyBorder="1" applyAlignment="1" applyProtection="1">
      <alignment horizontal="center" vertical="center"/>
      <protection locked="0"/>
    </xf>
    <xf numFmtId="0" fontId="47" fillId="13" borderId="80" xfId="0" applyFont="1" applyFill="1" applyBorder="1" applyAlignment="1">
      <alignment horizontal="center" vertical="center"/>
    </xf>
    <xf numFmtId="0" fontId="47" fillId="13" borderId="104" xfId="0" applyFont="1" applyFill="1" applyBorder="1" applyAlignment="1">
      <alignment horizontal="center" vertical="center"/>
    </xf>
    <xf numFmtId="3" fontId="0" fillId="0" borderId="71" xfId="0" applyNumberFormat="1" applyFill="1" applyBorder="1" applyAlignment="1" applyProtection="1">
      <alignment horizontal="center" vertical="center"/>
      <protection locked="0"/>
    </xf>
    <xf numFmtId="49" fontId="0" fillId="0" borderId="71" xfId="0" applyNumberFormat="1" applyFill="1" applyBorder="1" applyAlignment="1" applyProtection="1">
      <alignment horizontal="center" vertical="center" wrapText="1"/>
      <protection locked="0"/>
    </xf>
    <xf numFmtId="49" fontId="0" fillId="0" borderId="59" xfId="0" applyNumberFormat="1" applyFont="1" applyFill="1" applyBorder="1" applyAlignment="1" applyProtection="1">
      <alignment horizontal="center" vertical="center" wrapText="1"/>
      <protection locked="0"/>
    </xf>
    <xf numFmtId="49" fontId="0" fillId="0" borderId="71" xfId="0" applyNumberFormat="1" applyFont="1" applyFill="1" applyBorder="1" applyAlignment="1" applyProtection="1">
      <alignment horizontal="center" vertical="center" wrapText="1"/>
      <protection locked="0"/>
    </xf>
    <xf numFmtId="49" fontId="0" fillId="0" borderId="70" xfId="0" applyNumberFormat="1" applyFont="1" applyFill="1" applyBorder="1" applyAlignment="1" applyProtection="1">
      <alignment horizontal="center" vertical="center" wrapText="1"/>
      <protection locked="0"/>
    </xf>
    <xf numFmtId="2" fontId="16" fillId="0" borderId="58" xfId="0" applyNumberFormat="1" applyFont="1" applyFill="1" applyBorder="1" applyAlignment="1" applyProtection="1">
      <alignment horizontal="center" vertical="center" wrapText="1"/>
      <protection locked="0"/>
    </xf>
    <xf numFmtId="0" fontId="16" fillId="0" borderId="65" xfId="0" applyFont="1" applyBorder="1" applyAlignment="1">
      <alignment horizontal="center" vertical="center"/>
    </xf>
    <xf numFmtId="0" fontId="16" fillId="0" borderId="75" xfId="0" applyFont="1" applyBorder="1" applyAlignment="1">
      <alignment horizontal="center" vertical="center"/>
    </xf>
    <xf numFmtId="49" fontId="16" fillId="0" borderId="58" xfId="0" applyNumberFormat="1" applyFont="1" applyFill="1" applyBorder="1" applyAlignment="1" applyProtection="1">
      <alignment horizontal="center" vertical="center"/>
      <protection locked="0"/>
    </xf>
    <xf numFmtId="3" fontId="16" fillId="0" borderId="58" xfId="0" applyNumberFormat="1" applyFont="1" applyBorder="1" applyAlignment="1">
      <alignment horizontal="center" vertical="center"/>
    </xf>
    <xf numFmtId="3" fontId="0" fillId="0" borderId="60" xfId="0" applyNumberFormat="1" applyFill="1" applyBorder="1" applyAlignment="1" applyProtection="1">
      <alignment horizontal="center" vertical="center" wrapText="1"/>
      <protection locked="0"/>
    </xf>
    <xf numFmtId="0" fontId="16" fillId="0" borderId="61" xfId="0" applyFont="1" applyFill="1" applyBorder="1" applyAlignment="1">
      <alignment horizontal="center" vertical="center" wrapText="1"/>
    </xf>
    <xf numFmtId="0" fontId="16" fillId="0" borderId="58" xfId="0" applyFont="1" applyFill="1" applyBorder="1" applyAlignment="1">
      <alignment horizontal="center" vertical="center" wrapText="1"/>
    </xf>
    <xf numFmtId="2" fontId="0" fillId="0" borderId="59" xfId="0" applyNumberFormat="1" applyFill="1" applyBorder="1" applyAlignment="1" applyProtection="1">
      <alignment horizontal="center" vertical="center"/>
      <protection locked="0"/>
    </xf>
    <xf numFmtId="2" fontId="0" fillId="0" borderId="58" xfId="0" applyNumberFormat="1" applyFill="1" applyBorder="1" applyAlignment="1" applyProtection="1">
      <alignment horizontal="center" vertical="center"/>
      <protection locked="0"/>
    </xf>
    <xf numFmtId="49" fontId="0" fillId="0" borderId="60" xfId="0" applyNumberFormat="1" applyFill="1" applyBorder="1" applyAlignment="1" applyProtection="1">
      <alignment horizontal="center" vertical="center" wrapText="1"/>
      <protection locked="0"/>
    </xf>
    <xf numFmtId="49" fontId="0" fillId="0" borderId="70" xfId="0" applyNumberFormat="1" applyFill="1" applyBorder="1" applyAlignment="1" applyProtection="1">
      <alignment horizontal="center" vertical="center" wrapText="1"/>
      <protection locked="0"/>
    </xf>
    <xf numFmtId="3" fontId="0" fillId="0" borderId="70" xfId="0" applyNumberFormat="1" applyFont="1" applyFill="1" applyBorder="1" applyAlignment="1" applyProtection="1">
      <alignment horizontal="center" vertical="center"/>
      <protection locked="0"/>
    </xf>
    <xf numFmtId="3" fontId="0" fillId="0" borderId="70" xfId="0" applyNumberFormat="1" applyFill="1" applyBorder="1" applyAlignment="1" applyProtection="1">
      <alignment horizontal="center" vertical="center"/>
      <protection locked="0"/>
    </xf>
    <xf numFmtId="3" fontId="0" fillId="0" borderId="60" xfId="0" applyNumberFormat="1" applyFont="1" applyFill="1" applyBorder="1" applyAlignment="1" applyProtection="1">
      <alignment horizontal="center" vertical="center"/>
      <protection locked="0"/>
    </xf>
    <xf numFmtId="0" fontId="0" fillId="0" borderId="102" xfId="0" applyFill="1" applyBorder="1" applyAlignment="1">
      <alignment horizontal="center" vertical="center"/>
    </xf>
    <xf numFmtId="0" fontId="0" fillId="0" borderId="102" xfId="0" applyFont="1" applyFill="1" applyBorder="1" applyAlignment="1">
      <alignment horizontal="center" vertical="center"/>
    </xf>
    <xf numFmtId="0" fontId="0" fillId="0" borderId="82" xfId="0" applyFont="1" applyFill="1" applyBorder="1" applyAlignment="1">
      <alignment horizontal="center" vertical="center"/>
    </xf>
    <xf numFmtId="0" fontId="0" fillId="0" borderId="80" xfId="0" applyFill="1" applyBorder="1" applyAlignment="1">
      <alignment horizontal="center" vertical="center"/>
    </xf>
    <xf numFmtId="0" fontId="0" fillId="0" borderId="82" xfId="0" applyFill="1" applyBorder="1" applyAlignment="1">
      <alignment horizontal="center" vertical="center"/>
    </xf>
    <xf numFmtId="49" fontId="0" fillId="0" borderId="82" xfId="0" applyNumberFormat="1" applyFont="1" applyFill="1" applyBorder="1" applyAlignment="1" applyProtection="1">
      <alignment horizontal="center" vertical="center" wrapText="1"/>
      <protection locked="0"/>
    </xf>
    <xf numFmtId="0" fontId="0" fillId="0" borderId="103" xfId="0" applyFont="1" applyBorder="1" applyAlignment="1">
      <alignment horizontal="left" vertical="center" wrapText="1"/>
    </xf>
    <xf numFmtId="0" fontId="0" fillId="0" borderId="79" xfId="0" applyFont="1" applyBorder="1" applyAlignment="1">
      <alignment horizontal="left" vertical="center" wrapText="1"/>
    </xf>
    <xf numFmtId="0" fontId="0" fillId="0" borderId="103" xfId="0" applyFont="1" applyBorder="1" applyAlignment="1">
      <alignment horizontal="left" vertical="center"/>
    </xf>
    <xf numFmtId="0" fontId="0" fillId="0" borderId="79" xfId="0" applyFont="1" applyBorder="1" applyAlignment="1">
      <alignment horizontal="left" vertical="center"/>
    </xf>
    <xf numFmtId="0" fontId="0" fillId="0" borderId="79" xfId="0" applyFont="1" applyFill="1" applyBorder="1" applyAlignment="1">
      <alignment horizontal="left" vertical="center"/>
    </xf>
    <xf numFmtId="0" fontId="0" fillId="0" borderId="76" xfId="0" applyBorder="1" applyAlignment="1">
      <alignment horizontal="left" vertical="center" wrapText="1"/>
    </xf>
    <xf numFmtId="0" fontId="0" fillId="0" borderId="76" xfId="0" applyFont="1" applyBorder="1" applyAlignment="1">
      <alignment horizontal="left" vertical="center"/>
    </xf>
    <xf numFmtId="3" fontId="0" fillId="0" borderId="63" xfId="0" applyNumberFormat="1" applyFill="1" applyBorder="1" applyAlignment="1">
      <alignment horizontal="left" vertical="center" wrapText="1"/>
    </xf>
    <xf numFmtId="3" fontId="0" fillId="0" borderId="76" xfId="0" applyNumberFormat="1" applyFont="1" applyFill="1" applyBorder="1" applyAlignment="1">
      <alignment horizontal="left" vertical="center" wrapText="1"/>
    </xf>
    <xf numFmtId="3" fontId="0" fillId="0" borderId="76" xfId="0" applyNumberFormat="1" applyFill="1" applyBorder="1" applyAlignment="1">
      <alignment horizontal="left" vertical="center" wrapText="1"/>
    </xf>
    <xf numFmtId="0" fontId="0" fillId="0" borderId="103" xfId="0" applyFill="1" applyBorder="1" applyAlignment="1">
      <alignment horizontal="left" vertical="center" wrapText="1"/>
    </xf>
    <xf numFmtId="0" fontId="0" fillId="0" borderId="60" xfId="0" applyBorder="1" applyAlignment="1">
      <alignment horizontal="left" vertical="center" wrapText="1"/>
    </xf>
    <xf numFmtId="0" fontId="0" fillId="0" borderId="59" xfId="0" applyFont="1" applyBorder="1" applyAlignment="1">
      <alignment horizontal="left" vertical="center" wrapText="1"/>
    </xf>
    <xf numFmtId="3" fontId="0" fillId="0" borderId="78" xfId="0" applyNumberFormat="1" applyFill="1" applyBorder="1" applyAlignment="1">
      <alignment horizontal="left" vertical="center" wrapText="1"/>
    </xf>
    <xf numFmtId="3" fontId="0" fillId="0" borderId="103" xfId="0" applyNumberFormat="1" applyFont="1" applyFill="1" applyBorder="1" applyAlignment="1">
      <alignment horizontal="left" vertical="center" wrapText="1"/>
    </xf>
    <xf numFmtId="3" fontId="0" fillId="0" borderId="79" xfId="0" applyNumberFormat="1" applyFont="1" applyFill="1" applyBorder="1" applyAlignment="1">
      <alignment horizontal="left" vertical="center" wrapText="1"/>
    </xf>
    <xf numFmtId="0" fontId="0" fillId="0" borderId="102" xfId="0" applyBorder="1" applyAlignment="1">
      <alignment horizontal="center" vertical="center"/>
    </xf>
    <xf numFmtId="0" fontId="0" fillId="0" borderId="102" xfId="0" applyFont="1" applyBorder="1" applyAlignment="1">
      <alignment horizontal="center" vertical="center"/>
    </xf>
    <xf numFmtId="0" fontId="0" fillId="0" borderId="82" xfId="0" applyFont="1" applyBorder="1" applyAlignment="1">
      <alignment horizontal="center" vertical="center"/>
    </xf>
    <xf numFmtId="9" fontId="0" fillId="0" borderId="58" xfId="7" applyFont="1" applyFill="1" applyBorder="1" applyAlignment="1" applyProtection="1">
      <alignment horizontal="center" vertical="center"/>
      <protection locked="0"/>
    </xf>
    <xf numFmtId="3" fontId="16" fillId="0" borderId="59" xfId="0" applyNumberFormat="1" applyFont="1" applyBorder="1" applyAlignment="1">
      <alignment horizontal="center" vertical="center"/>
    </xf>
    <xf numFmtId="0" fontId="0" fillId="0" borderId="78" xfId="0" applyFont="1" applyBorder="1" applyAlignment="1">
      <alignment horizontal="left" vertical="center" wrapText="1"/>
    </xf>
    <xf numFmtId="0" fontId="0" fillId="0" borderId="79" xfId="0" applyBorder="1"/>
    <xf numFmtId="49" fontId="16" fillId="0" borderId="60" xfId="0" applyNumberFormat="1" applyFont="1" applyFill="1" applyBorder="1" applyAlignment="1" applyProtection="1">
      <alignment horizontal="center" vertical="center" wrapText="1"/>
      <protection locked="0"/>
    </xf>
    <xf numFmtId="49" fontId="16" fillId="0" borderId="59" xfId="0" applyNumberFormat="1" applyFont="1" applyFill="1" applyBorder="1" applyAlignment="1" applyProtection="1">
      <alignment horizontal="center" vertical="center" wrapText="1"/>
      <protection locked="0"/>
    </xf>
    <xf numFmtId="0" fontId="0" fillId="0" borderId="78" xfId="0" applyBorder="1" applyAlignment="1">
      <alignment vertical="center" wrapText="1"/>
    </xf>
    <xf numFmtId="0" fontId="0" fillId="0" borderId="79" xfId="0" applyFont="1" applyBorder="1" applyAlignment="1">
      <alignment vertical="center" wrapText="1"/>
    </xf>
    <xf numFmtId="0" fontId="47" fillId="13" borderId="60" xfId="0" applyFont="1" applyFill="1" applyBorder="1" applyAlignment="1">
      <alignment horizontal="center" vertical="center" wrapText="1"/>
    </xf>
    <xf numFmtId="0" fontId="47" fillId="13" borderId="60" xfId="0" applyFont="1" applyFill="1" applyBorder="1" applyAlignment="1" applyProtection="1">
      <alignment horizontal="center" vertical="center" wrapText="1"/>
      <protection locked="0"/>
    </xf>
    <xf numFmtId="49" fontId="0" fillId="0" borderId="65" xfId="0" applyNumberFormat="1" applyFont="1" applyFill="1" applyBorder="1" applyAlignment="1" applyProtection="1">
      <alignment horizontal="center" vertical="center" wrapText="1"/>
      <protection locked="0"/>
    </xf>
    <xf numFmtId="0" fontId="36" fillId="0" borderId="96" xfId="0" applyFont="1" applyFill="1" applyBorder="1" applyAlignment="1" applyProtection="1">
      <alignment horizontal="left" vertical="center" wrapText="1"/>
      <protection locked="0"/>
    </xf>
    <xf numFmtId="0" fontId="36" fillId="0" borderId="97" xfId="0" applyFont="1" applyFill="1" applyBorder="1" applyAlignment="1" applyProtection="1">
      <alignment horizontal="left" vertical="center" wrapText="1"/>
      <protection locked="0"/>
    </xf>
    <xf numFmtId="0" fontId="36" fillId="0" borderId="98" xfId="0" applyFont="1" applyFill="1" applyBorder="1" applyAlignment="1" applyProtection="1">
      <alignment horizontal="left" vertical="center" wrapText="1"/>
      <protection locked="0"/>
    </xf>
    <xf numFmtId="0" fontId="0" fillId="0" borderId="63" xfId="0" applyBorder="1" applyAlignment="1">
      <alignment horizontal="left" wrapText="1"/>
    </xf>
    <xf numFmtId="0" fontId="0" fillId="0" borderId="76" xfId="0" applyBorder="1" applyAlignment="1">
      <alignment horizontal="left" wrapText="1"/>
    </xf>
    <xf numFmtId="49" fontId="16" fillId="0" borderId="65" xfId="0" applyNumberFormat="1" applyFont="1" applyFill="1" applyBorder="1" applyAlignment="1" applyProtection="1">
      <alignment horizontal="center" vertical="center" wrapText="1"/>
      <protection locked="0"/>
    </xf>
    <xf numFmtId="49" fontId="16" fillId="0" borderId="75" xfId="0" applyNumberFormat="1" applyFont="1" applyFill="1" applyBorder="1" applyAlignment="1" applyProtection="1">
      <alignment horizontal="center" vertical="center" wrapText="1"/>
      <protection locked="0"/>
    </xf>
    <xf numFmtId="49" fontId="16" fillId="0" borderId="71" xfId="0" applyNumberFormat="1" applyFont="1" applyFill="1" applyBorder="1" applyAlignment="1" applyProtection="1">
      <alignment horizontal="center" vertical="center" wrapText="1"/>
      <protection locked="0"/>
    </xf>
    <xf numFmtId="49" fontId="47" fillId="13" borderId="60" xfId="0" applyNumberFormat="1" applyFont="1" applyFill="1" applyBorder="1" applyAlignment="1" applyProtection="1">
      <alignment horizontal="center" vertical="center" wrapText="1"/>
      <protection locked="0"/>
    </xf>
    <xf numFmtId="49" fontId="0" fillId="0" borderId="80" xfId="0" applyNumberFormat="1" applyFont="1" applyFill="1" applyBorder="1" applyAlignment="1" applyProtection="1">
      <alignment horizontal="center" vertical="center" wrapText="1"/>
      <protection locked="0"/>
    </xf>
    <xf numFmtId="49" fontId="0" fillId="0" borderId="102" xfId="0" applyNumberFormat="1" applyFont="1" applyFill="1" applyBorder="1" applyAlignment="1" applyProtection="1">
      <alignment horizontal="center" vertical="center" wrapText="1"/>
      <protection locked="0"/>
    </xf>
    <xf numFmtId="3" fontId="0" fillId="0" borderId="61" xfId="0" applyNumberFormat="1" applyFont="1" applyFill="1" applyBorder="1" applyAlignment="1" applyProtection="1">
      <alignment horizontal="center" vertical="center"/>
      <protection locked="0"/>
    </xf>
    <xf numFmtId="49" fontId="0" fillId="0" borderId="82" xfId="0" applyNumberFormat="1" applyFont="1" applyFill="1" applyBorder="1" applyAlignment="1" applyProtection="1">
      <alignment horizontal="center" vertical="center"/>
      <protection locked="0"/>
    </xf>
    <xf numFmtId="49" fontId="0" fillId="0" borderId="75" xfId="0" applyNumberFormat="1" applyFont="1" applyFill="1" applyBorder="1" applyAlignment="1" applyProtection="1">
      <alignment horizontal="center" vertical="center"/>
      <protection locked="0"/>
    </xf>
    <xf numFmtId="49" fontId="0" fillId="0" borderId="61" xfId="0" applyNumberFormat="1" applyFill="1" applyBorder="1" applyAlignment="1" applyProtection="1">
      <alignment horizontal="center" vertical="center"/>
      <protection locked="0"/>
    </xf>
    <xf numFmtId="3" fontId="0" fillId="0" borderId="71" xfId="0" applyNumberFormat="1" applyFont="1" applyFill="1" applyBorder="1" applyAlignment="1" applyProtection="1">
      <alignment horizontal="center" vertical="center"/>
      <protection locked="0"/>
    </xf>
    <xf numFmtId="0" fontId="0" fillId="0" borderId="70" xfId="0" applyFont="1" applyBorder="1" applyAlignment="1">
      <alignment horizontal="left" vertical="center" wrapText="1"/>
    </xf>
    <xf numFmtId="0" fontId="47" fillId="13" borderId="78" xfId="0" applyFont="1" applyFill="1" applyBorder="1" applyAlignment="1">
      <alignment horizontal="center" vertical="center"/>
    </xf>
    <xf numFmtId="49" fontId="0" fillId="0" borderId="60" xfId="0" applyNumberFormat="1" applyFill="1" applyBorder="1" applyAlignment="1" applyProtection="1">
      <alignment horizontal="center" vertical="center"/>
      <protection locked="0"/>
    </xf>
    <xf numFmtId="3" fontId="0" fillId="0" borderId="60" xfId="0" applyNumberFormat="1" applyFont="1" applyBorder="1" applyAlignment="1">
      <alignment horizontal="center" vertical="center"/>
    </xf>
    <xf numFmtId="3" fontId="0" fillId="0" borderId="70" xfId="0" applyNumberFormat="1" applyFont="1" applyBorder="1" applyAlignment="1">
      <alignment horizontal="center" vertical="center"/>
    </xf>
    <xf numFmtId="0" fontId="26" fillId="0" borderId="60" xfId="0" applyFont="1" applyFill="1" applyBorder="1" applyAlignment="1" applyProtection="1">
      <alignment horizontal="center" vertical="center" wrapText="1"/>
      <protection locked="0"/>
    </xf>
    <xf numFmtId="0" fontId="16" fillId="0" borderId="61" xfId="0" applyNumberFormat="1" applyFont="1" applyFill="1" applyBorder="1" applyAlignment="1" applyProtection="1">
      <alignment horizontal="center" vertical="center" wrapText="1"/>
      <protection locked="0"/>
    </xf>
    <xf numFmtId="0" fontId="16" fillId="0" borderId="58" xfId="0" applyNumberFormat="1" applyFont="1" applyFill="1" applyBorder="1" applyAlignment="1" applyProtection="1">
      <alignment horizontal="center" vertical="center" wrapText="1"/>
      <protection locked="0"/>
    </xf>
    <xf numFmtId="0" fontId="16" fillId="0" borderId="60" xfId="0" applyNumberFormat="1" applyFont="1" applyFill="1" applyBorder="1" applyAlignment="1" applyProtection="1">
      <alignment horizontal="center" vertical="center" wrapText="1"/>
      <protection locked="0"/>
    </xf>
    <xf numFmtId="0" fontId="16" fillId="0" borderId="70" xfId="0" applyNumberFormat="1" applyFont="1" applyFill="1" applyBorder="1" applyAlignment="1" applyProtection="1">
      <alignment horizontal="center" vertical="center" wrapText="1"/>
      <protection locked="0"/>
    </xf>
    <xf numFmtId="0" fontId="16" fillId="0" borderId="59" xfId="0" applyNumberFormat="1" applyFont="1" applyFill="1" applyBorder="1" applyAlignment="1" applyProtection="1">
      <alignment horizontal="center" vertical="center" wrapText="1"/>
      <protection locked="0"/>
    </xf>
    <xf numFmtId="3" fontId="16" fillId="0" borderId="60" xfId="0" applyNumberFormat="1" applyFont="1" applyFill="1" applyBorder="1" applyAlignment="1" applyProtection="1">
      <alignment horizontal="center" vertical="center" wrapText="1"/>
      <protection locked="0"/>
    </xf>
    <xf numFmtId="3" fontId="16" fillId="0" borderId="70" xfId="0" applyNumberFormat="1" applyFont="1" applyFill="1" applyBorder="1" applyAlignment="1" applyProtection="1">
      <alignment horizontal="center" vertical="center" wrapText="1"/>
      <protection locked="0"/>
    </xf>
    <xf numFmtId="3" fontId="16" fillId="0" borderId="59" xfId="0" applyNumberFormat="1" applyFont="1" applyFill="1" applyBorder="1" applyAlignment="1" applyProtection="1">
      <alignment horizontal="center" vertical="center" wrapText="1"/>
      <protection locked="0"/>
    </xf>
    <xf numFmtId="3" fontId="16" fillId="0" borderId="59" xfId="0" applyNumberFormat="1" applyFont="1" applyFill="1" applyBorder="1" applyAlignment="1">
      <alignment horizontal="center" vertical="center" wrapText="1"/>
    </xf>
    <xf numFmtId="0" fontId="16" fillId="0" borderId="71" xfId="0" applyNumberFormat="1" applyFont="1" applyFill="1" applyBorder="1" applyAlignment="1" applyProtection="1">
      <alignment horizontal="center" vertical="center" wrapText="1"/>
      <protection locked="0"/>
    </xf>
    <xf numFmtId="3" fontId="16" fillId="0" borderId="71" xfId="0" applyNumberFormat="1" applyFont="1" applyFill="1" applyBorder="1" applyAlignment="1" applyProtection="1">
      <alignment horizontal="center" vertical="center" wrapText="1"/>
      <protection locked="0"/>
    </xf>
    <xf numFmtId="0" fontId="0" fillId="0" borderId="105" xfId="0" applyBorder="1" applyAlignment="1">
      <alignment horizontal="center" vertical="center"/>
    </xf>
    <xf numFmtId="0" fontId="0" fillId="0" borderId="105" xfId="0" applyFont="1" applyBorder="1" applyAlignment="1">
      <alignment horizontal="center" vertical="center"/>
    </xf>
    <xf numFmtId="49" fontId="0" fillId="0" borderId="58" xfId="0" applyNumberFormat="1" applyFont="1" applyFill="1" applyBorder="1" applyAlignment="1" applyProtection="1">
      <alignment horizontal="center" vertical="center" wrapText="1"/>
      <protection locked="0"/>
    </xf>
    <xf numFmtId="0" fontId="0" fillId="0" borderId="80" xfId="0" applyBorder="1" applyAlignment="1">
      <alignment horizontal="center" vertical="center"/>
    </xf>
    <xf numFmtId="0" fontId="0" fillId="0" borderId="82" xfId="0" applyBorder="1" applyAlignment="1">
      <alignment horizontal="center" vertical="center"/>
    </xf>
    <xf numFmtId="3" fontId="0" fillId="0" borderId="71" xfId="0" applyNumberFormat="1" applyFill="1" applyBorder="1" applyAlignment="1" applyProtection="1">
      <alignment horizontal="center" vertical="center" wrapText="1"/>
      <protection locked="0"/>
    </xf>
    <xf numFmtId="0" fontId="0" fillId="0" borderId="79" xfId="0" applyBorder="1" applyAlignment="1">
      <alignment horizontal="left" vertical="center"/>
    </xf>
    <xf numFmtId="0" fontId="0" fillId="0" borderId="80" xfId="0" applyFont="1" applyBorder="1" applyAlignment="1">
      <alignment horizontal="center" vertical="center"/>
    </xf>
    <xf numFmtId="0" fontId="1" fillId="0" borderId="43" xfId="0" applyFont="1" applyFill="1" applyBorder="1" applyAlignment="1" applyProtection="1">
      <alignment horizontal="left" vertical="center"/>
      <protection locked="0"/>
    </xf>
    <xf numFmtId="0" fontId="1" fillId="0" borderId="0" xfId="0" applyFont="1" applyFill="1" applyBorder="1" applyAlignment="1" applyProtection="1">
      <alignment horizontal="left" vertical="center"/>
      <protection locked="0"/>
    </xf>
    <xf numFmtId="0" fontId="1" fillId="0" borderId="105" xfId="0" applyFont="1" applyFill="1" applyBorder="1" applyAlignment="1" applyProtection="1">
      <alignment horizontal="left" vertical="center"/>
      <protection locked="0"/>
    </xf>
    <xf numFmtId="0" fontId="25" fillId="0" borderId="54" xfId="0" applyFont="1" applyFill="1" applyBorder="1" applyAlignment="1" applyProtection="1">
      <alignment horizontal="left" vertical="center" wrapText="1"/>
      <protection locked="0"/>
    </xf>
    <xf numFmtId="0" fontId="25" fillId="0" borderId="56" xfId="0" applyFont="1" applyFill="1" applyBorder="1" applyAlignment="1" applyProtection="1">
      <alignment horizontal="left" vertical="center" wrapText="1"/>
      <protection locked="0"/>
    </xf>
    <xf numFmtId="0" fontId="25" fillId="0" borderId="109" xfId="0" applyFont="1" applyFill="1" applyBorder="1" applyAlignment="1" applyProtection="1">
      <alignment horizontal="left" vertical="center" wrapText="1"/>
      <protection locked="0"/>
    </xf>
    <xf numFmtId="2" fontId="0" fillId="0" borderId="58" xfId="0" applyNumberFormat="1" applyFill="1" applyBorder="1" applyAlignment="1" applyProtection="1">
      <alignment horizontal="center" vertical="center" wrapText="1"/>
      <protection locked="0"/>
    </xf>
    <xf numFmtId="0" fontId="16" fillId="0" borderId="58" xfId="0" applyFont="1" applyBorder="1" applyAlignment="1">
      <alignment horizontal="center" vertical="center"/>
    </xf>
    <xf numFmtId="49" fontId="0" fillId="0" borderId="71" xfId="0" applyNumberFormat="1" applyFill="1" applyBorder="1" applyAlignment="1" applyProtection="1">
      <alignment horizontal="center" vertical="center"/>
      <protection locked="0"/>
    </xf>
    <xf numFmtId="0" fontId="52" fillId="0" borderId="67" xfId="0" applyFont="1" applyBorder="1" applyAlignment="1">
      <alignment horizontal="left" vertical="center"/>
    </xf>
    <xf numFmtId="0" fontId="52" fillId="0" borderId="68" xfId="0" applyFont="1" applyBorder="1" applyAlignment="1">
      <alignment horizontal="left" vertical="center"/>
    </xf>
    <xf numFmtId="0" fontId="52" fillId="0" borderId="69" xfId="0" applyFont="1" applyBorder="1" applyAlignment="1">
      <alignment horizontal="left" vertical="center"/>
    </xf>
    <xf numFmtId="167" fontId="36" fillId="0" borderId="95" xfId="2" applyNumberFormat="1" applyFont="1" applyFill="1" applyBorder="1" applyAlignment="1">
      <alignment horizontal="left" vertical="center"/>
    </xf>
    <xf numFmtId="167" fontId="36" fillId="0" borderId="68" xfId="2" applyNumberFormat="1" applyFont="1" applyFill="1" applyBorder="1" applyAlignment="1">
      <alignment horizontal="left" vertical="center"/>
    </xf>
    <xf numFmtId="167" fontId="36" fillId="0" borderId="69" xfId="2" applyNumberFormat="1" applyFont="1" applyFill="1" applyBorder="1" applyAlignment="1">
      <alignment horizontal="left" vertical="center"/>
    </xf>
    <xf numFmtId="0" fontId="0" fillId="0" borderId="71" xfId="0" applyBorder="1" applyAlignment="1">
      <alignment horizontal="center" vertical="center"/>
    </xf>
    <xf numFmtId="0" fontId="47" fillId="13" borderId="65" xfId="0" applyFont="1" applyFill="1" applyBorder="1" applyAlignment="1">
      <alignment horizontal="center" vertical="center"/>
    </xf>
    <xf numFmtId="0" fontId="47" fillId="13" borderId="66" xfId="0" applyFont="1" applyFill="1" applyBorder="1" applyAlignment="1">
      <alignment horizontal="center" vertical="center"/>
    </xf>
    <xf numFmtId="3" fontId="0" fillId="0" borderId="70" xfId="0" applyNumberFormat="1" applyFill="1" applyBorder="1" applyAlignment="1" applyProtection="1">
      <alignment horizontal="center" vertical="center" wrapText="1"/>
      <protection locked="0"/>
    </xf>
    <xf numFmtId="49" fontId="0" fillId="9" borderId="60" xfId="0" applyNumberFormat="1" applyFill="1" applyBorder="1" applyAlignment="1" applyProtection="1">
      <alignment horizontal="center" vertical="center" wrapText="1"/>
      <protection locked="0"/>
    </xf>
    <xf numFmtId="49" fontId="0" fillId="9" borderId="70" xfId="0" applyNumberFormat="1" applyFill="1" applyBorder="1" applyAlignment="1" applyProtection="1">
      <alignment horizontal="center" vertical="center" wrapText="1"/>
      <protection locked="0"/>
    </xf>
    <xf numFmtId="49" fontId="0" fillId="9" borderId="59" xfId="0" applyNumberFormat="1" applyFill="1" applyBorder="1" applyAlignment="1" applyProtection="1">
      <alignment horizontal="center" vertical="center" wrapText="1"/>
      <protection locked="0"/>
    </xf>
    <xf numFmtId="0" fontId="0" fillId="0" borderId="102" xfId="0" applyFill="1" applyBorder="1" applyAlignment="1">
      <alignment horizontal="center" vertical="center" wrapText="1"/>
    </xf>
    <xf numFmtId="0" fontId="0" fillId="0" borderId="102" xfId="0" applyFont="1" applyFill="1" applyBorder="1" applyAlignment="1">
      <alignment horizontal="center" vertical="center" wrapText="1"/>
    </xf>
    <xf numFmtId="0" fontId="0" fillId="0" borderId="82" xfId="0" applyFont="1" applyFill="1" applyBorder="1" applyAlignment="1">
      <alignment horizontal="center" vertical="center" wrapText="1"/>
    </xf>
    <xf numFmtId="49" fontId="16" fillId="0" borderId="82" xfId="0" applyNumberFormat="1" applyFont="1" applyFill="1" applyBorder="1" applyAlignment="1" applyProtection="1">
      <alignment horizontal="center" vertical="center" wrapText="1"/>
      <protection locked="0"/>
    </xf>
    <xf numFmtId="167" fontId="33" fillId="0" borderId="95" xfId="2" applyNumberFormat="1" applyFont="1" applyFill="1" applyBorder="1" applyAlignment="1">
      <alignment horizontal="left" vertical="center"/>
    </xf>
    <xf numFmtId="167" fontId="33" fillId="0" borderId="68" xfId="2" applyNumberFormat="1" applyFont="1" applyFill="1" applyBorder="1" applyAlignment="1">
      <alignment horizontal="left" vertical="center"/>
    </xf>
    <xf numFmtId="167" fontId="33" fillId="0" borderId="69" xfId="2" applyNumberFormat="1" applyFont="1" applyFill="1" applyBorder="1" applyAlignment="1">
      <alignment horizontal="left" vertical="center"/>
    </xf>
    <xf numFmtId="49" fontId="0" fillId="0" borderId="82" xfId="0" applyNumberFormat="1" applyFill="1" applyBorder="1" applyAlignment="1" applyProtection="1">
      <alignment horizontal="center" vertical="center" wrapText="1"/>
      <protection locked="0"/>
    </xf>
    <xf numFmtId="0" fontId="25" fillId="0" borderId="66" xfId="0" applyFont="1" applyFill="1" applyBorder="1" applyAlignment="1" applyProtection="1">
      <alignment horizontal="left" vertical="center" wrapText="1"/>
      <protection locked="0"/>
    </xf>
    <xf numFmtId="0" fontId="25" fillId="0" borderId="62" xfId="0" applyFont="1" applyFill="1" applyBorder="1" applyAlignment="1" applyProtection="1">
      <alignment horizontal="left" vertical="center" wrapText="1"/>
      <protection locked="0"/>
    </xf>
    <xf numFmtId="2" fontId="26" fillId="0" borderId="58" xfId="0" applyNumberFormat="1" applyFont="1" applyFill="1" applyBorder="1" applyAlignment="1" applyProtection="1">
      <alignment horizontal="center" vertical="center" wrapText="1"/>
      <protection locked="0"/>
    </xf>
    <xf numFmtId="0" fontId="0" fillId="0" borderId="102" xfId="0" applyFont="1" applyBorder="1" applyAlignment="1">
      <alignment horizontal="center" vertical="center" wrapText="1"/>
    </xf>
    <xf numFmtId="0" fontId="0" fillId="0" borderId="82" xfId="0" applyFont="1" applyBorder="1" applyAlignment="1">
      <alignment horizontal="center" vertical="center" wrapText="1"/>
    </xf>
    <xf numFmtId="0" fontId="30" fillId="0" borderId="61" xfId="0" applyFont="1" applyFill="1" applyBorder="1" applyAlignment="1">
      <alignment horizontal="center" vertical="center"/>
    </xf>
    <xf numFmtId="1" fontId="16" fillId="0" borderId="58" xfId="0" applyNumberFormat="1" applyFont="1" applyFill="1" applyBorder="1" applyAlignment="1" applyProtection="1">
      <alignment horizontal="center" vertical="center" wrapText="1"/>
      <protection locked="0"/>
    </xf>
    <xf numFmtId="1" fontId="16" fillId="0" borderId="71" xfId="0" applyNumberFormat="1" applyFont="1" applyFill="1" applyBorder="1" applyAlignment="1" applyProtection="1">
      <alignment horizontal="center" vertical="center" wrapText="1"/>
      <protection locked="0"/>
    </xf>
    <xf numFmtId="1" fontId="16" fillId="0" borderId="59" xfId="0" applyNumberFormat="1" applyFont="1" applyFill="1" applyBorder="1" applyAlignment="1" applyProtection="1">
      <alignment horizontal="center" vertical="center" wrapText="1"/>
      <protection locked="0"/>
    </xf>
    <xf numFmtId="1" fontId="16" fillId="0" borderId="60" xfId="0" applyNumberFormat="1" applyFont="1" applyFill="1" applyBorder="1" applyAlignment="1" applyProtection="1">
      <alignment horizontal="center" vertical="center" wrapText="1"/>
      <protection locked="0"/>
    </xf>
    <xf numFmtId="3" fontId="0" fillId="9" borderId="60" xfId="0" applyNumberFormat="1" applyFill="1" applyBorder="1" applyAlignment="1" applyProtection="1">
      <alignment horizontal="center" vertical="center"/>
      <protection locked="0"/>
    </xf>
    <xf numFmtId="3" fontId="0" fillId="9" borderId="59" xfId="0" applyNumberFormat="1" applyFill="1" applyBorder="1" applyAlignment="1" applyProtection="1">
      <alignment horizontal="center" vertical="center"/>
      <protection locked="0"/>
    </xf>
    <xf numFmtId="0" fontId="0" fillId="0" borderId="77" xfId="0" applyFill="1" applyBorder="1" applyAlignment="1">
      <alignment horizontal="center" vertical="center"/>
    </xf>
    <xf numFmtId="168" fontId="0" fillId="0" borderId="61" xfId="0" applyNumberFormat="1" applyFill="1" applyBorder="1" applyAlignment="1" applyProtection="1">
      <alignment horizontal="center" vertical="center"/>
      <protection locked="0"/>
    </xf>
    <xf numFmtId="168" fontId="0" fillId="0" borderId="58" xfId="0" applyNumberFormat="1" applyFill="1" applyBorder="1" applyAlignment="1" applyProtection="1">
      <alignment horizontal="center" vertical="center"/>
      <protection locked="0"/>
    </xf>
    <xf numFmtId="0" fontId="25" fillId="0" borderId="58" xfId="0" applyFont="1" applyFill="1" applyBorder="1" applyAlignment="1" applyProtection="1">
      <alignment horizontal="left" vertical="center" wrapText="1"/>
      <protection locked="0"/>
    </xf>
    <xf numFmtId="0" fontId="1" fillId="0" borderId="73" xfId="0" applyFont="1" applyFill="1" applyBorder="1" applyAlignment="1">
      <alignment horizontal="center" vertical="center"/>
    </xf>
    <xf numFmtId="0" fontId="1" fillId="0" borderId="61" xfId="0" applyFont="1" applyFill="1" applyBorder="1" applyAlignment="1">
      <alignment horizontal="center" vertical="center"/>
    </xf>
    <xf numFmtId="0" fontId="0" fillId="0" borderId="77" xfId="0" applyFill="1" applyBorder="1" applyAlignment="1">
      <alignment horizontal="center" vertical="center" wrapText="1"/>
    </xf>
    <xf numFmtId="0" fontId="26" fillId="0" borderId="59" xfId="0" applyFont="1" applyFill="1" applyBorder="1" applyAlignment="1" applyProtection="1">
      <alignment horizontal="center" vertical="center"/>
      <protection locked="0"/>
    </xf>
    <xf numFmtId="0" fontId="26" fillId="0" borderId="58" xfId="0" applyFont="1" applyFill="1" applyBorder="1" applyAlignment="1" applyProtection="1">
      <alignment horizontal="center" vertical="center"/>
      <protection locked="0"/>
    </xf>
    <xf numFmtId="49" fontId="0" fillId="0" borderId="61" xfId="0" applyNumberFormat="1" applyFont="1" applyFill="1" applyBorder="1" applyAlignment="1" applyProtection="1">
      <alignment horizontal="center" vertical="center" wrapText="1"/>
      <protection locked="0"/>
    </xf>
    <xf numFmtId="2" fontId="0" fillId="0" borderId="70" xfId="0" applyNumberFormat="1" applyFill="1" applyBorder="1" applyAlignment="1" applyProtection="1">
      <alignment horizontal="center" vertical="center"/>
      <protection locked="0"/>
    </xf>
    <xf numFmtId="0" fontId="0" fillId="0" borderId="75" xfId="0" applyBorder="1" applyAlignment="1">
      <alignment horizontal="center" vertical="center"/>
    </xf>
    <xf numFmtId="3" fontId="0" fillId="0" borderId="71" xfId="0" applyNumberFormat="1" applyBorder="1" applyAlignment="1">
      <alignment horizontal="center" vertical="center"/>
    </xf>
    <xf numFmtId="0" fontId="0" fillId="0" borderId="77" xfId="0" applyBorder="1" applyAlignment="1">
      <alignment horizontal="center" vertical="center"/>
    </xf>
    <xf numFmtId="0" fontId="0" fillId="0" borderId="77" xfId="0" applyFont="1" applyBorder="1" applyAlignment="1">
      <alignment horizontal="center" vertical="center"/>
    </xf>
    <xf numFmtId="0" fontId="0" fillId="0" borderId="82" xfId="0" applyBorder="1"/>
    <xf numFmtId="0" fontId="25" fillId="0" borderId="96" xfId="0" applyFont="1" applyFill="1" applyBorder="1" applyAlignment="1" applyProtection="1">
      <alignment vertical="center" wrapText="1"/>
      <protection locked="0"/>
    </xf>
    <xf numFmtId="0" fontId="25" fillId="0" borderId="97" xfId="0" applyFont="1" applyFill="1" applyBorder="1" applyAlignment="1" applyProtection="1">
      <alignment vertical="center" wrapText="1"/>
      <protection locked="0"/>
    </xf>
    <xf numFmtId="0" fontId="25" fillId="0" borderId="98" xfId="0" applyFont="1" applyFill="1" applyBorder="1" applyAlignment="1" applyProtection="1">
      <alignment vertical="center" wrapText="1"/>
      <protection locked="0"/>
    </xf>
    <xf numFmtId="0" fontId="0" fillId="0" borderId="71" xfId="0" applyBorder="1" applyAlignment="1">
      <alignment horizontal="center" vertical="center" wrapText="1"/>
    </xf>
    <xf numFmtId="0" fontId="0" fillId="0" borderId="59" xfId="0" applyBorder="1" applyAlignment="1">
      <alignment horizontal="center" vertical="center" wrapText="1"/>
    </xf>
    <xf numFmtId="49" fontId="1" fillId="0" borderId="75" xfId="0" applyNumberFormat="1" applyFont="1" applyFill="1" applyBorder="1" applyAlignment="1" applyProtection="1">
      <alignment horizontal="center" vertical="center" wrapText="1"/>
      <protection locked="0"/>
    </xf>
    <xf numFmtId="0" fontId="47" fillId="13" borderId="61" xfId="0" applyFont="1" applyFill="1" applyBorder="1" applyAlignment="1">
      <alignment horizontal="center" vertical="center"/>
    </xf>
    <xf numFmtId="0" fontId="47" fillId="13" borderId="62" xfId="0" applyFont="1" applyFill="1" applyBorder="1" applyAlignment="1">
      <alignment horizontal="center" vertical="center"/>
    </xf>
    <xf numFmtId="0" fontId="0" fillId="0" borderId="59" xfId="0" applyBorder="1" applyAlignment="1">
      <alignment horizontal="center" vertical="center"/>
    </xf>
    <xf numFmtId="0" fontId="0" fillId="0" borderId="58" xfId="0" applyBorder="1" applyAlignment="1">
      <alignment horizontal="center" vertical="center"/>
    </xf>
    <xf numFmtId="0" fontId="47" fillId="13" borderId="60" xfId="1" applyFont="1" applyFill="1" applyBorder="1" applyAlignment="1" applyProtection="1">
      <alignment horizontal="center" vertical="center" wrapText="1"/>
      <protection locked="0"/>
    </xf>
    <xf numFmtId="3" fontId="47" fillId="13" borderId="61" xfId="0" applyNumberFormat="1" applyFont="1" applyFill="1" applyBorder="1" applyAlignment="1" applyProtection="1">
      <alignment horizontal="center" vertical="center" wrapText="1"/>
      <protection locked="0"/>
    </xf>
    <xf numFmtId="3" fontId="47" fillId="13" borderId="62" xfId="0" applyNumberFormat="1" applyFont="1" applyFill="1" applyBorder="1" applyAlignment="1" applyProtection="1">
      <alignment horizontal="center" vertical="center" wrapText="1"/>
      <protection locked="0"/>
    </xf>
    <xf numFmtId="2" fontId="0" fillId="0" borderId="58" xfId="0" applyNumberFormat="1" applyFont="1" applyBorder="1" applyAlignment="1" applyProtection="1">
      <alignment horizontal="center" vertical="center"/>
      <protection locked="0"/>
    </xf>
    <xf numFmtId="3" fontId="0" fillId="0" borderId="71" xfId="0" applyNumberFormat="1" applyFont="1" applyFill="1" applyBorder="1" applyAlignment="1">
      <alignment horizontal="center" vertical="center" wrapText="1"/>
    </xf>
    <xf numFmtId="3" fontId="0" fillId="0" borderId="70" xfId="0" applyNumberFormat="1" applyFont="1" applyFill="1" applyBorder="1" applyAlignment="1">
      <alignment horizontal="center" vertical="center" wrapText="1"/>
    </xf>
    <xf numFmtId="3" fontId="0" fillId="0" borderId="71" xfId="0" applyNumberFormat="1" applyFont="1" applyBorder="1" applyAlignment="1" applyProtection="1">
      <alignment horizontal="center" vertical="center"/>
      <protection locked="0"/>
    </xf>
    <xf numFmtId="3" fontId="0" fillId="0" borderId="70" xfId="0" applyNumberFormat="1" applyFont="1" applyBorder="1" applyAlignment="1" applyProtection="1">
      <alignment horizontal="center" vertical="center"/>
      <protection locked="0"/>
    </xf>
    <xf numFmtId="3" fontId="0" fillId="0" borderId="59" xfId="0" applyNumberFormat="1" applyFont="1" applyBorder="1" applyAlignment="1" applyProtection="1">
      <alignment horizontal="center" vertical="center"/>
      <protection locked="0"/>
    </xf>
    <xf numFmtId="4" fontId="26" fillId="0" borderId="59" xfId="0" applyNumberFormat="1" applyFont="1" applyFill="1" applyBorder="1" applyAlignment="1" applyProtection="1">
      <alignment horizontal="center" vertical="center" wrapText="1"/>
      <protection locked="0"/>
    </xf>
    <xf numFmtId="4" fontId="26" fillId="0" borderId="58" xfId="0" applyNumberFormat="1" applyFont="1" applyFill="1" applyBorder="1" applyAlignment="1" applyProtection="1">
      <alignment horizontal="center" vertical="center" wrapText="1"/>
      <protection locked="0"/>
    </xf>
    <xf numFmtId="1" fontId="16" fillId="0" borderId="61" xfId="0" applyNumberFormat="1" applyFont="1" applyFill="1" applyBorder="1" applyAlignment="1" applyProtection="1">
      <alignment horizontal="center" vertical="center" wrapText="1"/>
      <protection locked="0"/>
    </xf>
    <xf numFmtId="2" fontId="16" fillId="0" borderId="59" xfId="0" applyNumberFormat="1" applyFont="1" applyFill="1" applyBorder="1" applyAlignment="1" applyProtection="1">
      <alignment horizontal="center" vertical="center" wrapText="1"/>
      <protection locked="0"/>
    </xf>
    <xf numFmtId="2" fontId="29" fillId="0" borderId="58" xfId="0" applyNumberFormat="1" applyFont="1" applyFill="1" applyBorder="1" applyAlignment="1" applyProtection="1">
      <alignment horizontal="center" vertical="center" wrapText="1"/>
      <protection locked="0"/>
    </xf>
    <xf numFmtId="49" fontId="0" fillId="0" borderId="80" xfId="0" applyNumberFormat="1" applyFill="1" applyBorder="1" applyAlignment="1" applyProtection="1">
      <alignment horizontal="center" vertical="center" wrapText="1"/>
      <protection locked="0"/>
    </xf>
    <xf numFmtId="49" fontId="0" fillId="0" borderId="102" xfId="0" applyNumberFormat="1" applyFill="1" applyBorder="1" applyAlignment="1" applyProtection="1">
      <alignment horizontal="center" vertical="center" wrapText="1"/>
      <protection locked="0"/>
    </xf>
    <xf numFmtId="49" fontId="0" fillId="0" borderId="80" xfId="0" applyNumberFormat="1" applyFont="1" applyFill="1" applyBorder="1" applyAlignment="1" applyProtection="1">
      <alignment horizontal="center" vertical="center"/>
      <protection locked="0"/>
    </xf>
    <xf numFmtId="49" fontId="0" fillId="0" borderId="102" xfId="0" applyNumberFormat="1" applyFont="1" applyFill="1" applyBorder="1" applyAlignment="1" applyProtection="1">
      <alignment horizontal="center" vertical="center"/>
      <protection locked="0"/>
    </xf>
    <xf numFmtId="2" fontId="0" fillId="0" borderId="80" xfId="0" applyNumberFormat="1" applyBorder="1" applyAlignment="1">
      <alignment horizontal="center" vertical="center"/>
    </xf>
    <xf numFmtId="2" fontId="0" fillId="0" borderId="102" xfId="0" applyNumberFormat="1" applyBorder="1" applyAlignment="1">
      <alignment horizontal="center" vertical="center"/>
    </xf>
    <xf numFmtId="2" fontId="0" fillId="0" borderId="82" xfId="0" applyNumberFormat="1" applyBorder="1" applyAlignment="1">
      <alignment horizontal="center" vertical="center"/>
    </xf>
    <xf numFmtId="2" fontId="0" fillId="0" borderId="58" xfId="0" applyNumberFormat="1" applyBorder="1" applyAlignment="1" applyProtection="1">
      <alignment horizontal="center" vertical="center" wrapText="1"/>
      <protection locked="0"/>
    </xf>
    <xf numFmtId="3" fontId="0" fillId="0" borderId="58" xfId="0" applyNumberFormat="1" applyBorder="1" applyAlignment="1" applyProtection="1">
      <alignment horizontal="center" vertical="center"/>
      <protection locked="0"/>
    </xf>
    <xf numFmtId="49" fontId="0" fillId="0" borderId="75" xfId="0" applyNumberFormat="1" applyFill="1" applyBorder="1" applyAlignment="1" applyProtection="1">
      <alignment horizontal="center" vertical="center" wrapText="1"/>
      <protection locked="0"/>
    </xf>
    <xf numFmtId="0" fontId="0" fillId="0" borderId="71" xfId="0" applyFont="1" applyFill="1" applyBorder="1" applyAlignment="1" applyProtection="1">
      <alignment horizontal="center" vertical="center" wrapText="1"/>
      <protection locked="0"/>
    </xf>
    <xf numFmtId="0" fontId="0" fillId="0" borderId="70" xfId="0" applyFont="1" applyFill="1" applyBorder="1" applyAlignment="1" applyProtection="1">
      <alignment horizontal="center" vertical="center" wrapText="1"/>
      <protection locked="0"/>
    </xf>
    <xf numFmtId="0" fontId="0" fillId="0" borderId="59" xfId="0" applyFont="1" applyFill="1" applyBorder="1" applyAlignment="1" applyProtection="1">
      <alignment horizontal="center" vertical="center" wrapText="1"/>
      <protection locked="0"/>
    </xf>
    <xf numFmtId="0" fontId="0" fillId="0" borderId="65" xfId="0" applyFont="1" applyFill="1" applyBorder="1" applyAlignment="1" applyProtection="1">
      <alignment horizontal="center" vertical="center" wrapText="1"/>
      <protection locked="0"/>
    </xf>
    <xf numFmtId="0" fontId="0" fillId="0" borderId="75" xfId="0" applyFont="1" applyFill="1" applyBorder="1" applyAlignment="1" applyProtection="1">
      <alignment horizontal="center" vertical="center" wrapText="1"/>
      <protection locked="0"/>
    </xf>
    <xf numFmtId="3" fontId="16" fillId="0" borderId="71" xfId="0" applyNumberFormat="1" applyFont="1" applyFill="1" applyBorder="1" applyAlignment="1">
      <alignment horizontal="center" vertical="center" wrapText="1"/>
    </xf>
    <xf numFmtId="0" fontId="16" fillId="0" borderId="70" xfId="0" applyFont="1" applyFill="1" applyBorder="1" applyAlignment="1">
      <alignment horizontal="center" vertical="center" wrapText="1"/>
    </xf>
    <xf numFmtId="0" fontId="16" fillId="0" borderId="59" xfId="0" applyFont="1" applyFill="1" applyBorder="1" applyAlignment="1">
      <alignment horizontal="center" vertical="center" wrapText="1"/>
    </xf>
    <xf numFmtId="3" fontId="16" fillId="0" borderId="70" xfId="0" applyNumberFormat="1" applyFont="1" applyFill="1" applyBorder="1" applyAlignment="1">
      <alignment horizontal="center" vertical="center" wrapText="1"/>
    </xf>
    <xf numFmtId="0" fontId="30" fillId="0" borderId="95" xfId="0" applyFont="1" applyFill="1" applyBorder="1" applyAlignment="1">
      <alignment horizontal="left" vertical="center"/>
    </xf>
    <xf numFmtId="0" fontId="30" fillId="0" borderId="68" xfId="0" applyFont="1" applyFill="1" applyBorder="1" applyAlignment="1">
      <alignment horizontal="left" vertical="center"/>
    </xf>
    <xf numFmtId="0" fontId="30" fillId="0" borderId="69" xfId="0" applyFont="1" applyFill="1" applyBorder="1" applyAlignment="1">
      <alignment horizontal="left" vertical="center"/>
    </xf>
    <xf numFmtId="0" fontId="30" fillId="0" borderId="96" xfId="0" applyFont="1" applyFill="1" applyBorder="1" applyAlignment="1">
      <alignment horizontal="left" vertical="center"/>
    </xf>
    <xf numFmtId="0" fontId="30" fillId="0" borderId="97" xfId="0" applyFont="1" applyFill="1" applyBorder="1" applyAlignment="1">
      <alignment horizontal="left" vertical="center"/>
    </xf>
    <xf numFmtId="0" fontId="30" fillId="0" borderId="98" xfId="0" applyFont="1" applyFill="1" applyBorder="1" applyAlignment="1">
      <alignment horizontal="left" vertical="center"/>
    </xf>
    <xf numFmtId="0" fontId="30" fillId="0" borderId="107" xfId="0" applyFont="1" applyFill="1" applyBorder="1" applyAlignment="1">
      <alignment horizontal="left" vertical="center"/>
    </xf>
    <xf numFmtId="0" fontId="30" fillId="0" borderId="110" xfId="0" applyFont="1" applyFill="1" applyBorder="1" applyAlignment="1">
      <alignment horizontal="left" vertical="center"/>
    </xf>
    <xf numFmtId="0" fontId="30" fillId="0" borderId="73" xfId="0" applyFont="1" applyFill="1" applyBorder="1" applyAlignment="1">
      <alignment horizontal="left" vertical="center"/>
    </xf>
    <xf numFmtId="0" fontId="0" fillId="0" borderId="71" xfId="0" applyBorder="1" applyAlignment="1">
      <alignment horizontal="left" vertical="center" wrapText="1"/>
    </xf>
    <xf numFmtId="0" fontId="1" fillId="0" borderId="67" xfId="0" applyFont="1" applyFill="1" applyBorder="1" applyAlignment="1" applyProtection="1">
      <alignment horizontal="left" vertical="center"/>
      <protection locked="0"/>
    </xf>
    <xf numFmtId="0" fontId="25" fillId="0" borderId="67" xfId="0" applyFont="1" applyFill="1" applyBorder="1" applyAlignment="1" applyProtection="1">
      <alignment horizontal="left" vertical="center" wrapText="1"/>
      <protection locked="0"/>
    </xf>
    <xf numFmtId="0" fontId="25" fillId="0" borderId="68" xfId="0" applyFont="1" applyFill="1" applyBorder="1" applyAlignment="1" applyProtection="1">
      <alignment horizontal="left" vertical="center" wrapText="1"/>
      <protection locked="0"/>
    </xf>
    <xf numFmtId="0" fontId="25" fillId="0" borderId="69" xfId="0" applyFont="1" applyFill="1" applyBorder="1" applyAlignment="1" applyProtection="1">
      <alignment horizontal="left" vertical="center" wrapText="1"/>
      <protection locked="0"/>
    </xf>
    <xf numFmtId="2" fontId="0" fillId="0" borderId="76" xfId="0" applyNumberFormat="1" applyBorder="1" applyAlignment="1">
      <alignment horizontal="left" vertical="center" wrapText="1"/>
    </xf>
    <xf numFmtId="2" fontId="0" fillId="0" borderId="76" xfId="0" applyNumberFormat="1" applyFont="1" applyBorder="1" applyAlignment="1">
      <alignment horizontal="left" vertical="center" wrapText="1"/>
    </xf>
    <xf numFmtId="3" fontId="0" fillId="0" borderId="63" xfId="0" applyNumberFormat="1" applyFont="1" applyBorder="1" applyAlignment="1">
      <alignment horizontal="left" vertical="center" wrapText="1"/>
    </xf>
    <xf numFmtId="49" fontId="0" fillId="0" borderId="65" xfId="0" applyNumberFormat="1" applyFill="1" applyBorder="1" applyAlignment="1" applyProtection="1">
      <alignment horizontal="center" vertical="center"/>
      <protection locked="0"/>
    </xf>
    <xf numFmtId="3" fontId="0" fillId="0" borderId="59" xfId="0" applyNumberFormat="1" applyFill="1" applyBorder="1" applyAlignment="1" applyProtection="1">
      <alignment horizontal="center" vertical="center" wrapText="1"/>
      <protection locked="0"/>
    </xf>
    <xf numFmtId="0" fontId="0" fillId="0" borderId="61" xfId="0" applyFont="1" applyFill="1" applyBorder="1" applyAlignment="1" applyProtection="1">
      <alignment horizontal="center" vertical="center" wrapText="1"/>
      <protection locked="0"/>
    </xf>
    <xf numFmtId="0" fontId="0" fillId="0" borderId="58" xfId="0" applyFont="1" applyFill="1" applyBorder="1" applyAlignment="1" applyProtection="1">
      <alignment horizontal="center" vertical="center" wrapText="1"/>
      <protection locked="0"/>
    </xf>
    <xf numFmtId="3" fontId="0" fillId="0" borderId="80" xfId="0" applyNumberFormat="1" applyFill="1" applyBorder="1" applyAlignment="1" applyProtection="1">
      <alignment horizontal="center" vertical="center" wrapText="1"/>
      <protection locked="0"/>
    </xf>
    <xf numFmtId="3" fontId="0" fillId="0" borderId="102" xfId="0" applyNumberFormat="1" applyFill="1" applyBorder="1" applyAlignment="1" applyProtection="1">
      <alignment horizontal="center" vertical="center" wrapText="1"/>
      <protection locked="0"/>
    </xf>
    <xf numFmtId="3" fontId="0" fillId="0" borderId="82" xfId="0" applyNumberFormat="1" applyFill="1" applyBorder="1" applyAlignment="1" applyProtection="1">
      <alignment horizontal="center" vertical="center" wrapText="1"/>
      <protection locked="0"/>
    </xf>
    <xf numFmtId="0" fontId="0" fillId="0" borderId="58" xfId="0" applyFill="1" applyBorder="1" applyAlignment="1" applyProtection="1">
      <alignment horizontal="center" vertical="center" wrapText="1"/>
      <protection locked="0"/>
    </xf>
    <xf numFmtId="0" fontId="0" fillId="0" borderId="60" xfId="0" applyFill="1" applyBorder="1" applyAlignment="1" applyProtection="1">
      <alignment horizontal="center" vertical="center" wrapText="1"/>
      <protection locked="0"/>
    </xf>
    <xf numFmtId="0" fontId="0" fillId="0" borderId="80" xfId="0" applyFill="1" applyBorder="1" applyAlignment="1" applyProtection="1">
      <alignment horizontal="center" vertical="center" wrapText="1"/>
      <protection locked="0"/>
    </xf>
    <xf numFmtId="0" fontId="0" fillId="0" borderId="102" xfId="0" applyFill="1" applyBorder="1" applyAlignment="1" applyProtection="1">
      <alignment horizontal="center" vertical="center" wrapText="1"/>
      <protection locked="0"/>
    </xf>
    <xf numFmtId="3" fontId="0" fillId="0" borderId="63" xfId="0" applyNumberFormat="1" applyBorder="1" applyAlignment="1">
      <alignment vertical="center" wrapText="1"/>
    </xf>
    <xf numFmtId="3" fontId="0" fillId="0" borderId="76" xfId="0" applyNumberFormat="1" applyFont="1" applyBorder="1" applyAlignment="1">
      <alignment vertical="center" wrapText="1"/>
    </xf>
    <xf numFmtId="3" fontId="0" fillId="0" borderId="76" xfId="0" applyNumberFormat="1" applyBorder="1" applyAlignment="1">
      <alignment vertical="center" wrapText="1"/>
    </xf>
    <xf numFmtId="3" fontId="0" fillId="0" borderId="71" xfId="0" applyNumberFormat="1" applyFont="1" applyBorder="1" applyAlignment="1">
      <alignment horizontal="center" vertical="center"/>
    </xf>
    <xf numFmtId="4" fontId="0" fillId="0" borderId="71" xfId="0" applyNumberFormat="1" applyFill="1" applyBorder="1" applyAlignment="1" applyProtection="1">
      <alignment horizontal="center" vertical="center"/>
      <protection locked="0"/>
    </xf>
    <xf numFmtId="4" fontId="0" fillId="0" borderId="70" xfId="0" applyNumberFormat="1" applyFill="1" applyBorder="1" applyAlignment="1" applyProtection="1">
      <alignment horizontal="center" vertical="center"/>
      <protection locked="0"/>
    </xf>
    <xf numFmtId="0" fontId="0" fillId="0" borderId="81" xfId="0" applyFill="1" applyBorder="1" applyAlignment="1">
      <alignment horizontal="center" vertical="center" wrapText="1"/>
    </xf>
    <xf numFmtId="0" fontId="0" fillId="0" borderId="79" xfId="0" applyFont="1" applyFill="1" applyBorder="1" applyAlignment="1">
      <alignment horizontal="center" vertical="center" wrapText="1"/>
    </xf>
    <xf numFmtId="3" fontId="17" fillId="0" borderId="1" xfId="0" applyNumberFormat="1" applyFont="1" applyBorder="1" applyAlignment="1">
      <alignment horizontal="left" vertical="center" wrapText="1"/>
    </xf>
    <xf numFmtId="3" fontId="17" fillId="0" borderId="5" xfId="0" applyNumberFormat="1" applyFont="1" applyBorder="1" applyAlignment="1">
      <alignment horizontal="left" vertical="center" wrapText="1"/>
    </xf>
    <xf numFmtId="3" fontId="17" fillId="0" borderId="24" xfId="0" applyNumberFormat="1" applyFont="1" applyBorder="1" applyAlignment="1">
      <alignment horizontal="left" vertical="center" wrapText="1"/>
    </xf>
    <xf numFmtId="3" fontId="17" fillId="0" borderId="44" xfId="0" applyNumberFormat="1" applyFont="1" applyBorder="1" applyAlignment="1">
      <alignment horizontal="left" vertical="center" wrapText="1"/>
    </xf>
    <xf numFmtId="0" fontId="1" fillId="0" borderId="15"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3" xfId="0" applyFont="1" applyBorder="1" applyAlignment="1">
      <alignment horizontal="center" vertical="center"/>
    </xf>
    <xf numFmtId="0" fontId="1" fillId="0" borderId="12" xfId="0" applyFont="1" applyBorder="1" applyAlignment="1">
      <alignment horizontal="center" vertical="center"/>
    </xf>
    <xf numFmtId="0" fontId="1" fillId="0" borderId="57" xfId="0" applyFont="1" applyBorder="1" applyAlignment="1">
      <alignment horizontal="center" vertical="center"/>
    </xf>
    <xf numFmtId="0" fontId="1" fillId="0" borderId="21" xfId="0" applyFont="1" applyBorder="1" applyAlignment="1">
      <alignment horizontal="center" vertical="center"/>
    </xf>
    <xf numFmtId="0" fontId="1" fillId="0" borderId="14" xfId="0" applyFont="1" applyBorder="1" applyAlignment="1">
      <alignment horizontal="center" vertical="center"/>
    </xf>
    <xf numFmtId="0" fontId="1" fillId="0" borderId="20" xfId="0" applyFont="1" applyBorder="1" applyAlignment="1">
      <alignment horizontal="center" vertical="center"/>
    </xf>
    <xf numFmtId="0" fontId="1" fillId="0" borderId="11" xfId="0" applyFont="1" applyBorder="1" applyAlignment="1">
      <alignment horizontal="center" vertical="center"/>
    </xf>
    <xf numFmtId="0" fontId="1" fillId="0" borderId="16" xfId="0" applyFont="1" applyBorder="1" applyAlignment="1">
      <alignment horizontal="center" vertical="center"/>
    </xf>
    <xf numFmtId="0" fontId="16" fillId="4" borderId="41" xfId="0" applyFont="1" applyFill="1" applyBorder="1" applyAlignment="1">
      <alignment horizontal="center" vertical="center"/>
    </xf>
    <xf numFmtId="0" fontId="16" fillId="4" borderId="42" xfId="0" applyFont="1" applyFill="1" applyBorder="1" applyAlignment="1">
      <alignment horizontal="center" vertical="center"/>
    </xf>
    <xf numFmtId="0" fontId="0" fillId="4" borderId="41" xfId="0" applyFill="1" applyBorder="1" applyAlignment="1">
      <alignment horizontal="center" vertical="center" wrapText="1"/>
    </xf>
    <xf numFmtId="0" fontId="0" fillId="4" borderId="42" xfId="0" applyFill="1" applyBorder="1" applyAlignment="1">
      <alignment horizontal="center" vertical="center" wrapText="1"/>
    </xf>
    <xf numFmtId="0" fontId="0" fillId="4" borderId="55" xfId="0" applyFill="1" applyBorder="1" applyAlignment="1">
      <alignment horizontal="center" vertical="center" wrapText="1"/>
    </xf>
    <xf numFmtId="0" fontId="0" fillId="4" borderId="36" xfId="0" applyFill="1" applyBorder="1" applyAlignment="1">
      <alignment horizontal="center" vertical="center" wrapText="1"/>
    </xf>
    <xf numFmtId="0" fontId="1" fillId="0" borderId="86" xfId="0" applyFont="1" applyBorder="1" applyAlignment="1">
      <alignment horizontal="center" vertical="center"/>
    </xf>
    <xf numFmtId="0" fontId="1" fillId="0" borderId="27" xfId="0" applyFont="1" applyBorder="1" applyAlignment="1">
      <alignment horizontal="center" vertical="center"/>
    </xf>
    <xf numFmtId="0" fontId="1" fillId="0" borderId="90" xfId="0" applyFont="1" applyBorder="1" applyAlignment="1">
      <alignment horizontal="center" vertical="center"/>
    </xf>
    <xf numFmtId="0" fontId="1" fillId="0" borderId="54" xfId="0" applyFont="1" applyBorder="1" applyAlignment="1">
      <alignment horizontal="center" vertical="center"/>
    </xf>
    <xf numFmtId="0" fontId="1" fillId="0" borderId="28"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1" xfId="0" applyFont="1" applyBorder="1" applyAlignment="1">
      <alignment horizontal="center" vertical="center" wrapText="1"/>
    </xf>
    <xf numFmtId="0" fontId="1" fillId="0" borderId="47" xfId="0" applyFont="1" applyBorder="1" applyAlignment="1">
      <alignment horizontal="center" vertical="center" wrapText="1"/>
    </xf>
    <xf numFmtId="0" fontId="1" fillId="0" borderId="56" xfId="0" applyFont="1" applyBorder="1" applyAlignment="1">
      <alignment horizontal="center" vertical="center"/>
    </xf>
    <xf numFmtId="0" fontId="1" fillId="0" borderId="6" xfId="0" applyFont="1" applyBorder="1" applyAlignment="1">
      <alignment horizontal="center" vertical="center" wrapText="1"/>
    </xf>
    <xf numFmtId="0" fontId="1" fillId="0" borderId="11" xfId="0" applyFont="1" applyBorder="1" applyAlignment="1">
      <alignment horizontal="center" vertical="center" wrapText="1"/>
    </xf>
    <xf numFmtId="0" fontId="0" fillId="10" borderId="8" xfId="0" applyFill="1" applyBorder="1" applyAlignment="1">
      <alignment horizontal="center" vertical="center" wrapText="1"/>
    </xf>
    <xf numFmtId="0" fontId="0" fillId="10" borderId="1" xfId="0" applyFill="1" applyBorder="1" applyAlignment="1">
      <alignment horizontal="center" vertical="center" wrapText="1"/>
    </xf>
    <xf numFmtId="0" fontId="0" fillId="10" borderId="6" xfId="0" applyFill="1" applyBorder="1" applyAlignment="1">
      <alignment horizontal="center" vertical="center"/>
    </xf>
    <xf numFmtId="0" fontId="0" fillId="10" borderId="21" xfId="0" applyFill="1" applyBorder="1" applyAlignment="1">
      <alignment horizontal="center" vertical="center"/>
    </xf>
    <xf numFmtId="0" fontId="0" fillId="9" borderId="11" xfId="0" applyFill="1" applyBorder="1" applyAlignment="1">
      <alignment horizontal="center" vertical="center" wrapText="1"/>
    </xf>
    <xf numFmtId="0" fontId="0" fillId="9" borderId="19" xfId="0" applyFill="1" applyBorder="1" applyAlignment="1">
      <alignment horizontal="center" vertical="center" wrapText="1"/>
    </xf>
    <xf numFmtId="0" fontId="0" fillId="0" borderId="0" xfId="0" applyFill="1" applyBorder="1" applyAlignment="1">
      <alignment horizontal="center" vertical="center" wrapText="1"/>
    </xf>
  </cellXfs>
  <cellStyles count="8">
    <cellStyle name="Comma" xfId="2" builtinId="3"/>
    <cellStyle name="Comma 2" xfId="3"/>
    <cellStyle name="Comma 3" xfId="5"/>
    <cellStyle name="Normal" xfId="0" builtinId="0"/>
    <cellStyle name="Normal 2" xfId="4"/>
    <cellStyle name="Normal 3" xfId="6"/>
    <cellStyle name="Percent" xfId="7" builtinId="5"/>
    <cellStyle name="Standard_cost breakdown pumps sliven5" xfId="1"/>
  </cellStyles>
  <dxfs count="0"/>
  <tableStyles count="0" defaultTableStyle="TableStyleMedium9" defaultPivotStyle="PivotStyleLight16"/>
  <colors>
    <mruColors>
      <color rgb="FFFFFF66"/>
      <color rgb="FF66FFFF"/>
      <color rgb="FF000099"/>
      <color rgb="FFFF99FF"/>
      <color rgb="FFCCFF66"/>
      <color rgb="FF66CCFF"/>
      <color rgb="FFFF9999"/>
      <color rgb="FF00FF99"/>
      <color rgb="FF3366FF"/>
      <color rgb="FF99FF99"/>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974911</xdr:colOff>
      <xdr:row>1</xdr:row>
      <xdr:rowOff>28815</xdr:rowOff>
    </xdr:from>
    <xdr:to>
      <xdr:col>16</xdr:col>
      <xdr:colOff>1711445</xdr:colOff>
      <xdr:row>2</xdr:row>
      <xdr:rowOff>52928</xdr:rowOff>
    </xdr:to>
    <xdr:pic>
      <xdr:nvPicPr>
        <xdr:cNvPr id="2" name="Picture 1" descr="Sigla Aecom.jpg"/>
        <xdr:cNvPicPr>
          <a:picLocks noChangeAspect="1"/>
        </xdr:cNvPicPr>
      </xdr:nvPicPr>
      <xdr:blipFill>
        <a:blip xmlns:r="http://schemas.openxmlformats.org/officeDocument/2006/relationships" r:embed="rId1" cstate="print"/>
        <a:srcRect l="46245" t="46427" b="16819"/>
        <a:stretch>
          <a:fillRect/>
        </a:stretch>
      </xdr:blipFill>
      <xdr:spPr>
        <a:xfrm>
          <a:off x="17888590" y="219315"/>
          <a:ext cx="736534" cy="2146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G55"/>
  <sheetViews>
    <sheetView workbookViewId="0">
      <selection sqref="A1:A2"/>
    </sheetView>
  </sheetViews>
  <sheetFormatPr defaultRowHeight="15"/>
  <cols>
    <col min="1" max="1" width="16.5703125" customWidth="1"/>
    <col min="2" max="2" width="14.7109375" customWidth="1"/>
    <col min="4" max="5" width="10.140625" bestFit="1" customWidth="1"/>
    <col min="7" max="7" width="9.85546875" bestFit="1" customWidth="1"/>
  </cols>
  <sheetData>
    <row r="1" spans="1:7">
      <c r="A1" s="1367" t="s">
        <v>14</v>
      </c>
      <c r="B1" s="1369" t="s">
        <v>0</v>
      </c>
      <c r="C1" s="1346" t="s">
        <v>80</v>
      </c>
      <c r="D1" s="1346"/>
      <c r="E1" s="1347"/>
    </row>
    <row r="2" spans="1:7" ht="15.75" thickBot="1">
      <c r="A2" s="1368"/>
      <c r="B2" s="1370"/>
      <c r="C2" s="63" t="s">
        <v>83</v>
      </c>
      <c r="D2" s="63" t="s">
        <v>84</v>
      </c>
      <c r="E2" s="113" t="s">
        <v>71</v>
      </c>
    </row>
    <row r="3" spans="1:7">
      <c r="A3" s="1350" t="s">
        <v>15</v>
      </c>
      <c r="B3" s="1353" t="s">
        <v>16</v>
      </c>
      <c r="C3" s="65">
        <f>APA!AH3+CANAL!Z3</f>
        <v>1359533.4888427998</v>
      </c>
      <c r="D3" s="65">
        <f>D4</f>
        <v>364622.35880924005</v>
      </c>
      <c r="E3" s="72">
        <f>C3+D3</f>
        <v>1724155.84765204</v>
      </c>
    </row>
    <row r="4" spans="1:7" hidden="1">
      <c r="A4" s="1351"/>
      <c r="B4" s="1354"/>
      <c r="C4" s="50"/>
      <c r="D4" s="50">
        <f>APA!AI4+CANAL!AA4</f>
        <v>364622.35880924005</v>
      </c>
      <c r="E4" s="67"/>
    </row>
    <row r="5" spans="1:7">
      <c r="A5" s="1351"/>
      <c r="B5" s="1355" t="s">
        <v>22</v>
      </c>
      <c r="C5" s="50">
        <f>APA!AH5+CANAL!Z5</f>
        <v>1346112.6926117998</v>
      </c>
      <c r="D5" s="50">
        <f>D6</f>
        <v>228118.94609759998</v>
      </c>
      <c r="E5" s="67">
        <f>C5+D5</f>
        <v>1574231.6387093998</v>
      </c>
    </row>
    <row r="6" spans="1:7" hidden="1">
      <c r="A6" s="1351"/>
      <c r="B6" s="1354"/>
      <c r="C6" s="50"/>
      <c r="D6" s="50">
        <f>APA!AI6+CANAL!AA6</f>
        <v>228118.94609759998</v>
      </c>
      <c r="E6" s="110"/>
    </row>
    <row r="7" spans="1:7" ht="15.75" thickBot="1">
      <c r="A7" s="1351"/>
      <c r="B7" s="1355" t="s">
        <v>23</v>
      </c>
      <c r="C7" s="50">
        <f>APA!AH7+CANAL!Z7</f>
        <v>183743.99999999997</v>
      </c>
      <c r="D7" s="50">
        <f>D8</f>
        <v>1807573.0744880121</v>
      </c>
      <c r="E7" s="67">
        <f>C7+D7</f>
        <v>1991317.0744880121</v>
      </c>
    </row>
    <row r="8" spans="1:7" ht="17.45" hidden="1" customHeight="1" thickBot="1">
      <c r="A8" s="1352"/>
      <c r="B8" s="1356"/>
      <c r="C8" s="70"/>
      <c r="D8" s="70">
        <f>APA!AI8+CANAL!AA8</f>
        <v>1807573.0744880121</v>
      </c>
      <c r="E8" s="111"/>
    </row>
    <row r="9" spans="1:7" ht="19.899999999999999" customHeight="1" thickBot="1">
      <c r="A9" s="1348" t="s">
        <v>97</v>
      </c>
      <c r="B9" s="1349"/>
      <c r="C9" s="75">
        <f>APA!AH9+CANAL!Z9</f>
        <v>2889390.1814545994</v>
      </c>
      <c r="D9" s="75">
        <f>APA!AI9+CANAL!AA9</f>
        <v>2400314.3793948521</v>
      </c>
      <c r="E9" s="76">
        <f>C9+D9</f>
        <v>5289704.5608494515</v>
      </c>
      <c r="F9" s="44"/>
      <c r="G9" s="44"/>
    </row>
    <row r="10" spans="1:7">
      <c r="A10" s="1363" t="s">
        <v>26</v>
      </c>
      <c r="B10" s="1365" t="s">
        <v>26</v>
      </c>
      <c r="C10" s="65">
        <f>APA!AH10+CANAL!Z10</f>
        <v>797930.63924879988</v>
      </c>
      <c r="D10" s="65">
        <f>D11</f>
        <v>0</v>
      </c>
      <c r="E10" s="72">
        <f>C10+D10</f>
        <v>797930.63924879988</v>
      </c>
      <c r="G10" s="44"/>
    </row>
    <row r="11" spans="1:7" hidden="1">
      <c r="A11" s="1371"/>
      <c r="B11" s="1372"/>
      <c r="C11" s="50">
        <f>APA!AH11+CANAL!Z11</f>
        <v>0</v>
      </c>
      <c r="D11" s="50">
        <f>APA!AI11+CANAL!AA11</f>
        <v>0</v>
      </c>
      <c r="E11" s="110"/>
      <c r="G11" s="44"/>
    </row>
    <row r="12" spans="1:7" ht="15.75" thickBot="1">
      <c r="A12" s="1371"/>
      <c r="B12" s="1373" t="s">
        <v>27</v>
      </c>
      <c r="C12" s="50">
        <f>APA!AH12+CANAL!Z12</f>
        <v>1613157.1906998998</v>
      </c>
      <c r="D12" s="50">
        <f>D13</f>
        <v>0</v>
      </c>
      <c r="E12" s="67">
        <f>C12+D12</f>
        <v>1613157.1906998998</v>
      </c>
      <c r="G12" s="44"/>
    </row>
    <row r="13" spans="1:7" ht="15.75" hidden="1" thickBot="1">
      <c r="A13" s="1364"/>
      <c r="B13" s="1366"/>
      <c r="C13" s="70">
        <f>APA!AH13+CANAL!Z13</f>
        <v>0</v>
      </c>
      <c r="D13" s="70">
        <f>APA!AI13+CANAL!AA13</f>
        <v>0</v>
      </c>
      <c r="E13" s="111"/>
      <c r="G13" s="44"/>
    </row>
    <row r="14" spans="1:7" ht="15.75" thickBot="1">
      <c r="A14" s="1348" t="s">
        <v>98</v>
      </c>
      <c r="B14" s="1349"/>
      <c r="C14" s="75">
        <f>APA!AH14+CANAL!Z14</f>
        <v>2411087.8299487</v>
      </c>
      <c r="D14" s="75">
        <f>APA!AI14+CANAL!AA14</f>
        <v>0</v>
      </c>
      <c r="E14" s="76">
        <f>C14+D14</f>
        <v>2411087.8299487</v>
      </c>
      <c r="F14" s="44"/>
      <c r="G14" s="44"/>
    </row>
    <row r="15" spans="1:7">
      <c r="A15" s="1350" t="s">
        <v>30</v>
      </c>
      <c r="B15" s="1353" t="s">
        <v>31</v>
      </c>
      <c r="C15" s="65">
        <f>APA!AH15+CANAL!Z15</f>
        <v>0</v>
      </c>
      <c r="D15" s="65">
        <f>D16</f>
        <v>0</v>
      </c>
      <c r="E15" s="72">
        <f>C15+D15</f>
        <v>0</v>
      </c>
      <c r="G15" s="44"/>
    </row>
    <row r="16" spans="1:7" hidden="1">
      <c r="A16" s="1351"/>
      <c r="B16" s="1354"/>
      <c r="C16" s="50">
        <f>APA!AH16+CANAL!Z16</f>
        <v>0</v>
      </c>
      <c r="D16" s="50">
        <f>APA!AI16+CANAL!AA16</f>
        <v>0</v>
      </c>
      <c r="E16" s="110"/>
      <c r="G16" s="44"/>
    </row>
    <row r="17" spans="1:7">
      <c r="A17" s="1351"/>
      <c r="B17" s="1355" t="s">
        <v>30</v>
      </c>
      <c r="C17" s="50">
        <f>APA!AH17+CANAL!Z17</f>
        <v>2061333.0991217478</v>
      </c>
      <c r="D17" s="50">
        <f>D18</f>
        <v>0</v>
      </c>
      <c r="E17" s="67">
        <f>C17+D17</f>
        <v>2061333.0991217478</v>
      </c>
      <c r="G17" s="44"/>
    </row>
    <row r="18" spans="1:7" hidden="1">
      <c r="A18" s="1351"/>
      <c r="B18" s="1354"/>
      <c r="C18" s="50">
        <f>APA!AH18+CANAL!Z18</f>
        <v>0</v>
      </c>
      <c r="D18" s="50">
        <f>D19</f>
        <v>0</v>
      </c>
      <c r="E18" s="110"/>
      <c r="G18" s="44"/>
    </row>
    <row r="19" spans="1:7" ht="15.75" thickBot="1">
      <c r="A19" s="1351"/>
      <c r="B19" s="1355" t="s">
        <v>32</v>
      </c>
      <c r="C19" s="50">
        <f>APA!AH19+CANAL!Z19</f>
        <v>694750.59479679982</v>
      </c>
      <c r="D19" s="50">
        <f>D20</f>
        <v>0</v>
      </c>
      <c r="E19" s="67">
        <f>C19+D19</f>
        <v>694750.59479679982</v>
      </c>
      <c r="G19" s="44"/>
    </row>
    <row r="20" spans="1:7" ht="15.75" hidden="1" thickBot="1">
      <c r="A20" s="1352"/>
      <c r="B20" s="1356"/>
      <c r="C20" s="70">
        <f>APA!AH20+CANAL!Z20</f>
        <v>0</v>
      </c>
      <c r="D20" s="70">
        <f>APA!AI20+CANAL!AA20</f>
        <v>0</v>
      </c>
      <c r="E20" s="111"/>
      <c r="G20" s="44"/>
    </row>
    <row r="21" spans="1:7" ht="15.75" thickBot="1">
      <c r="A21" s="1348" t="s">
        <v>99</v>
      </c>
      <c r="B21" s="1349"/>
      <c r="C21" s="75">
        <f>APA!AH21+CANAL!Z21</f>
        <v>2756083.6939185476</v>
      </c>
      <c r="D21" s="75">
        <f>APA!AI21+CANAL!AA21</f>
        <v>0</v>
      </c>
      <c r="E21" s="76">
        <f>C21+D21</f>
        <v>2756083.6939185476</v>
      </c>
      <c r="F21" s="44"/>
      <c r="G21" s="44"/>
    </row>
    <row r="22" spans="1:7" ht="15.75" thickBot="1">
      <c r="A22" s="1363" t="s">
        <v>33</v>
      </c>
      <c r="B22" s="1365" t="s">
        <v>33</v>
      </c>
      <c r="C22" s="100">
        <f>APA!AH22+CANAL!Z22</f>
        <v>1509150.2035367996</v>
      </c>
      <c r="D22" s="100">
        <f>D23</f>
        <v>87883.814359800002</v>
      </c>
      <c r="E22" s="101">
        <f>C22+D22</f>
        <v>1597034.0178965996</v>
      </c>
      <c r="G22" s="44"/>
    </row>
    <row r="23" spans="1:7" ht="15.75" hidden="1" thickBot="1">
      <c r="A23" s="1364"/>
      <c r="B23" s="1366"/>
      <c r="C23" s="108">
        <f>APA!AH23+CANAL!Z23</f>
        <v>0</v>
      </c>
      <c r="D23" s="108">
        <f>APA!AI23+CANAL!AA23</f>
        <v>87883.814359800002</v>
      </c>
      <c r="E23" s="112"/>
      <c r="G23" s="44"/>
    </row>
    <row r="24" spans="1:7" ht="15.75" thickBot="1">
      <c r="A24" s="1348" t="s">
        <v>100</v>
      </c>
      <c r="B24" s="1349"/>
      <c r="C24" s="75">
        <f>APA!AH24+CANAL!Z24</f>
        <v>1509150.2035367996</v>
      </c>
      <c r="D24" s="75">
        <f>APA!AI24+CANAL!AA24</f>
        <v>87883.814359800002</v>
      </c>
      <c r="E24" s="76">
        <f>C24+D24</f>
        <v>1597034.0178965996</v>
      </c>
      <c r="F24" s="44"/>
      <c r="G24" s="44"/>
    </row>
    <row r="25" spans="1:7">
      <c r="A25" s="1357" t="s">
        <v>34</v>
      </c>
      <c r="B25" s="1360" t="s">
        <v>34</v>
      </c>
      <c r="C25" s="65">
        <f>APA!AH25+CANAL!Z25</f>
        <v>0</v>
      </c>
      <c r="D25" s="65">
        <f>D26</f>
        <v>0</v>
      </c>
      <c r="E25" s="72">
        <f>C25+D25</f>
        <v>0</v>
      </c>
      <c r="G25" s="44"/>
    </row>
    <row r="26" spans="1:7" hidden="1">
      <c r="A26" s="1358"/>
      <c r="B26" s="1361"/>
      <c r="C26" s="50">
        <f>APA!AH26+CANAL!Z26</f>
        <v>0</v>
      </c>
      <c r="D26" s="50">
        <f>APA!AI26+CANAL!AA26</f>
        <v>0</v>
      </c>
      <c r="E26" s="110"/>
      <c r="G26" s="44"/>
    </row>
    <row r="27" spans="1:7">
      <c r="A27" s="1358"/>
      <c r="B27" s="1361" t="s">
        <v>35</v>
      </c>
      <c r="C27" s="50">
        <f>APA!AH27+CANAL!Z27</f>
        <v>0</v>
      </c>
      <c r="D27" s="50">
        <f>D28</f>
        <v>0</v>
      </c>
      <c r="E27" s="67">
        <f>C27+D27</f>
        <v>0</v>
      </c>
      <c r="G27" s="44"/>
    </row>
    <row r="28" spans="1:7" hidden="1">
      <c r="A28" s="1358"/>
      <c r="B28" s="1361"/>
      <c r="C28" s="50">
        <f>APA!AH28+CANAL!Z28</f>
        <v>0</v>
      </c>
      <c r="D28" s="50">
        <f>APA!AI28+CANAL!AA28</f>
        <v>0</v>
      </c>
      <c r="E28" s="110"/>
      <c r="G28" s="44"/>
    </row>
    <row r="29" spans="1:7">
      <c r="A29" s="1358"/>
      <c r="B29" s="1361" t="s">
        <v>36</v>
      </c>
      <c r="C29" s="50">
        <f>APA!AH29+CANAL!Z29</f>
        <v>0</v>
      </c>
      <c r="D29" s="50">
        <f>D30</f>
        <v>0</v>
      </c>
      <c r="E29" s="67">
        <f>C29+D29</f>
        <v>0</v>
      </c>
      <c r="G29" s="44"/>
    </row>
    <row r="30" spans="1:7" hidden="1">
      <c r="A30" s="1358"/>
      <c r="B30" s="1361"/>
      <c r="C30" s="50">
        <f>APA!AH30+CANAL!Z30</f>
        <v>0</v>
      </c>
      <c r="D30" s="50">
        <f>APA!AI30+CANAL!AA30</f>
        <v>0</v>
      </c>
      <c r="E30" s="110"/>
      <c r="G30" s="44"/>
    </row>
    <row r="31" spans="1:7">
      <c r="A31" s="1358"/>
      <c r="B31" s="1361" t="s">
        <v>39</v>
      </c>
      <c r="C31" s="50">
        <f>APA!AH31+CANAL!Z31</f>
        <v>0</v>
      </c>
      <c r="D31" s="50">
        <f>D32</f>
        <v>0</v>
      </c>
      <c r="E31" s="67">
        <f>C31+D31</f>
        <v>0</v>
      </c>
      <c r="G31" s="44"/>
    </row>
    <row r="32" spans="1:7" hidden="1">
      <c r="A32" s="1358"/>
      <c r="B32" s="1361"/>
      <c r="C32" s="50">
        <f>APA!AH32+CANAL!Z32</f>
        <v>0</v>
      </c>
      <c r="D32" s="50">
        <f>APA!AI32+CANAL!AA32</f>
        <v>0</v>
      </c>
      <c r="E32" s="110"/>
      <c r="G32" s="44"/>
    </row>
    <row r="33" spans="1:7">
      <c r="A33" s="1358"/>
      <c r="B33" s="1361" t="s">
        <v>37</v>
      </c>
      <c r="C33" s="50">
        <f>APA!AH33+CANAL!Z33</f>
        <v>0</v>
      </c>
      <c r="D33" s="50">
        <f>D34</f>
        <v>0</v>
      </c>
      <c r="E33" s="67">
        <f>C33+D33</f>
        <v>0</v>
      </c>
      <c r="G33" s="44"/>
    </row>
    <row r="34" spans="1:7" hidden="1">
      <c r="A34" s="1358"/>
      <c r="B34" s="1361"/>
      <c r="C34" s="50">
        <f>APA!AH34+CANAL!Z34</f>
        <v>0</v>
      </c>
      <c r="D34" s="50">
        <f>APA!AI34+CANAL!AA34</f>
        <v>0</v>
      </c>
      <c r="E34" s="110"/>
      <c r="G34" s="44"/>
    </row>
    <row r="35" spans="1:7" ht="15.75" thickBot="1">
      <c r="A35" s="1358"/>
      <c r="B35" s="1361" t="s">
        <v>38</v>
      </c>
      <c r="C35" s="50">
        <f>APA!AH35+CANAL!Z35</f>
        <v>0</v>
      </c>
      <c r="D35" s="50">
        <f>D36</f>
        <v>0</v>
      </c>
      <c r="E35" s="67">
        <f>C35+D35</f>
        <v>0</v>
      </c>
      <c r="G35" s="44"/>
    </row>
    <row r="36" spans="1:7" ht="15.75" hidden="1" thickBot="1">
      <c r="A36" s="1359"/>
      <c r="B36" s="1362"/>
      <c r="C36" s="70">
        <f>APA!AH36+CANAL!Z36</f>
        <v>0</v>
      </c>
      <c r="D36" s="70">
        <f>APA!AI36+CANAL!AA36</f>
        <v>0</v>
      </c>
      <c r="E36" s="111"/>
      <c r="G36" s="44"/>
    </row>
    <row r="37" spans="1:7" ht="15.75" thickBot="1">
      <c r="A37" s="1348" t="s">
        <v>101</v>
      </c>
      <c r="B37" s="1349"/>
      <c r="C37" s="75">
        <f>APA!AH37+CANAL!Z37</f>
        <v>0</v>
      </c>
      <c r="D37" s="75">
        <f>APA!AI37+CANAL!AA37</f>
        <v>0</v>
      </c>
      <c r="E37" s="76">
        <f>C37+D37</f>
        <v>0</v>
      </c>
      <c r="F37" s="44"/>
      <c r="G37" s="44"/>
    </row>
    <row r="38" spans="1:7">
      <c r="A38" s="1350" t="s">
        <v>42</v>
      </c>
      <c r="B38" s="1353" t="s">
        <v>42</v>
      </c>
      <c r="C38" s="65">
        <f>APA!AH38+CANAL!Z38</f>
        <v>1087516.5069716</v>
      </c>
      <c r="D38" s="65">
        <f>D39</f>
        <v>0</v>
      </c>
      <c r="E38" s="72">
        <f>C38+D38</f>
        <v>1087516.5069716</v>
      </c>
      <c r="G38" s="44"/>
    </row>
    <row r="39" spans="1:7" hidden="1">
      <c r="A39" s="1351"/>
      <c r="B39" s="1354"/>
      <c r="C39" s="50">
        <f>APA!AH39+CANAL!Z39</f>
        <v>0</v>
      </c>
      <c r="D39" s="50">
        <f>APA!AI39+CANAL!AA39</f>
        <v>0</v>
      </c>
      <c r="E39" s="110"/>
      <c r="G39" s="44"/>
    </row>
    <row r="40" spans="1:7" ht="15.75" thickBot="1">
      <c r="A40" s="1351"/>
      <c r="B40" s="1355" t="s">
        <v>43</v>
      </c>
      <c r="C40" s="50">
        <f>APA!AH40+CANAL!Z40</f>
        <v>2159018.7804369996</v>
      </c>
      <c r="D40" s="50">
        <f>D41</f>
        <v>0</v>
      </c>
      <c r="E40" s="67">
        <f>C40+D40</f>
        <v>2159018.7804369996</v>
      </c>
      <c r="G40" s="44"/>
    </row>
    <row r="41" spans="1:7" ht="15.75" hidden="1" thickBot="1">
      <c r="A41" s="1352"/>
      <c r="B41" s="1356"/>
      <c r="C41" s="70">
        <f>APA!AH41+CANAL!Z41</f>
        <v>0</v>
      </c>
      <c r="D41" s="70">
        <f>APA!AI41+CANAL!AA41</f>
        <v>0</v>
      </c>
      <c r="E41" s="111"/>
      <c r="G41" s="44"/>
    </row>
    <row r="42" spans="1:7" ht="15.75" thickBot="1">
      <c r="A42" s="1348" t="s">
        <v>102</v>
      </c>
      <c r="B42" s="1349"/>
      <c r="C42" s="75">
        <f>APA!AH42+CANAL!Z42</f>
        <v>3246535.2874085996</v>
      </c>
      <c r="D42" s="75">
        <f>APA!AI42+CANAL!AA42</f>
        <v>0</v>
      </c>
      <c r="E42" s="76">
        <f>C42+D42</f>
        <v>3246535.2874085996</v>
      </c>
      <c r="F42" s="44"/>
      <c r="G42" s="44"/>
    </row>
    <row r="43" spans="1:7" ht="15.75" thickBot="1">
      <c r="A43" s="118" t="s">
        <v>103</v>
      </c>
      <c r="B43" s="119" t="s">
        <v>103</v>
      </c>
      <c r="C43" s="122">
        <f>APA!AH46+CANAL!Z45</f>
        <v>657895.10128280008</v>
      </c>
      <c r="D43" s="122">
        <f>APA!AI46+CANAL!AA45</f>
        <v>12849479.875342902</v>
      </c>
      <c r="E43" s="121">
        <f>C43+D43</f>
        <v>13507374.976625701</v>
      </c>
    </row>
    <row r="44" spans="1:7" ht="15.75" thickBot="1">
      <c r="A44" s="1374" t="s">
        <v>106</v>
      </c>
      <c r="B44" s="1375"/>
      <c r="C44" s="75">
        <f>C43</f>
        <v>657895.10128280008</v>
      </c>
      <c r="D44" s="75">
        <f>D43</f>
        <v>12849479.875342902</v>
      </c>
      <c r="E44" s="76">
        <f>E43</f>
        <v>13507374.976625701</v>
      </c>
    </row>
    <row r="45" spans="1:7">
      <c r="A45" s="19"/>
      <c r="B45" s="19"/>
      <c r="C45" s="59"/>
      <c r="D45" s="59"/>
      <c r="E45" s="59"/>
      <c r="G45" s="44">
        <f>E44+E42+E37+E24+E21+E14+E9</f>
        <v>28807820.366647601</v>
      </c>
    </row>
    <row r="46" spans="1:7">
      <c r="A46" s="19"/>
      <c r="B46" s="19"/>
      <c r="C46" s="49"/>
      <c r="D46" s="49"/>
      <c r="E46" s="49"/>
    </row>
    <row r="47" spans="1:7">
      <c r="A47" s="20"/>
      <c r="B47" s="20"/>
      <c r="C47" s="49"/>
      <c r="D47" s="49"/>
      <c r="E47" s="49"/>
    </row>
    <row r="48" spans="1:7">
      <c r="A48" s="20"/>
      <c r="B48" s="20"/>
      <c r="C48" s="49"/>
      <c r="D48" s="49"/>
      <c r="E48" s="49"/>
    </row>
    <row r="49" spans="1:5">
      <c r="A49" s="20"/>
      <c r="B49" s="20"/>
      <c r="C49" s="49"/>
      <c r="D49" s="49"/>
      <c r="E49" s="49"/>
    </row>
    <row r="50" spans="1:5">
      <c r="A50" s="20"/>
      <c r="B50" s="20"/>
      <c r="C50" s="49"/>
      <c r="D50" s="49"/>
      <c r="E50" s="49"/>
    </row>
    <row r="51" spans="1:5">
      <c r="A51" s="20"/>
      <c r="B51" s="20"/>
      <c r="C51" s="49"/>
      <c r="D51" s="49"/>
      <c r="E51" s="49"/>
    </row>
    <row r="52" spans="1:5">
      <c r="A52" s="20"/>
      <c r="B52" s="20"/>
      <c r="C52" s="49"/>
      <c r="D52" s="49"/>
      <c r="E52" s="49"/>
    </row>
    <row r="53" spans="1:5">
      <c r="A53" s="20"/>
      <c r="B53" s="20"/>
      <c r="C53" s="49"/>
      <c r="D53" s="49"/>
      <c r="E53" s="49"/>
    </row>
    <row r="54" spans="1:5">
      <c r="A54" s="20"/>
      <c r="B54" s="20"/>
      <c r="C54" s="49"/>
      <c r="D54" s="49"/>
      <c r="E54" s="49"/>
    </row>
    <row r="55" spans="1:5">
      <c r="A55" s="20"/>
      <c r="B55" s="20"/>
      <c r="C55" s="49"/>
      <c r="D55" s="49"/>
      <c r="E55" s="49"/>
    </row>
  </sheetData>
  <mergeCells count="33">
    <mergeCell ref="A44:B44"/>
    <mergeCell ref="A3:A8"/>
    <mergeCell ref="B3:B4"/>
    <mergeCell ref="B5:B6"/>
    <mergeCell ref="B7:B8"/>
    <mergeCell ref="A14:B14"/>
    <mergeCell ref="A24:B24"/>
    <mergeCell ref="A15:A20"/>
    <mergeCell ref="B15:B16"/>
    <mergeCell ref="B17:B18"/>
    <mergeCell ref="B19:B20"/>
    <mergeCell ref="A42:B42"/>
    <mergeCell ref="B1:B2"/>
    <mergeCell ref="A9:B9"/>
    <mergeCell ref="A10:A13"/>
    <mergeCell ref="B10:B11"/>
    <mergeCell ref="B12:B13"/>
    <mergeCell ref="C1:E1"/>
    <mergeCell ref="A37:B37"/>
    <mergeCell ref="A38:A41"/>
    <mergeCell ref="B38:B39"/>
    <mergeCell ref="B40:B41"/>
    <mergeCell ref="A25:A36"/>
    <mergeCell ref="B25:B26"/>
    <mergeCell ref="B27:B28"/>
    <mergeCell ref="B29:B30"/>
    <mergeCell ref="B31:B32"/>
    <mergeCell ref="B33:B34"/>
    <mergeCell ref="B35:B36"/>
    <mergeCell ref="A21:B21"/>
    <mergeCell ref="A22:A23"/>
    <mergeCell ref="B22:B23"/>
    <mergeCell ref="A1:A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AI88"/>
  <sheetViews>
    <sheetView topLeftCell="A2" workbookViewId="0">
      <selection activeCell="G49" sqref="G49"/>
    </sheetView>
  </sheetViews>
  <sheetFormatPr defaultRowHeight="15"/>
  <cols>
    <col min="1" max="1" width="16.5703125" customWidth="1"/>
    <col min="2" max="2" width="14.7109375" customWidth="1"/>
    <col min="3" max="3" width="14.42578125" customWidth="1"/>
    <col min="4" max="4" width="8.5703125" customWidth="1"/>
    <col min="5" max="5" width="8.140625" customWidth="1"/>
    <col min="6" max="6" width="8.42578125" customWidth="1"/>
    <col min="7" max="7" width="8" customWidth="1"/>
    <col min="8" max="8" width="8.85546875" customWidth="1"/>
    <col min="9" max="9" width="16.7109375" customWidth="1"/>
    <col min="10" max="14" width="8.85546875" customWidth="1"/>
    <col min="15" max="15" width="10" customWidth="1"/>
    <col min="16" max="23" width="8.85546875" customWidth="1"/>
    <col min="24" max="26" width="8.85546875" style="1" customWidth="1"/>
    <col min="27" max="28" width="11.85546875" customWidth="1"/>
    <col min="32" max="32" width="13.42578125" customWidth="1"/>
    <col min="35" max="35" width="9.85546875" bestFit="1" customWidth="1"/>
  </cols>
  <sheetData>
    <row r="1" spans="1:35">
      <c r="A1" s="1367" t="s">
        <v>14</v>
      </c>
      <c r="B1" s="1369" t="s">
        <v>0</v>
      </c>
      <c r="C1" s="1369" t="s">
        <v>21</v>
      </c>
      <c r="D1" s="1409" t="s">
        <v>24</v>
      </c>
      <c r="E1" s="1409"/>
      <c r="F1" s="1409"/>
      <c r="G1" s="1409"/>
      <c r="H1" s="1409"/>
      <c r="I1" s="1409"/>
      <c r="J1" s="1409"/>
      <c r="K1" s="1409"/>
      <c r="L1" s="1409"/>
      <c r="M1" s="1409"/>
      <c r="N1" s="1409"/>
      <c r="O1" s="1409"/>
      <c r="P1" s="1409"/>
      <c r="Q1" s="1409"/>
      <c r="R1" s="1409"/>
      <c r="S1" s="1409"/>
      <c r="T1" s="1410" t="s">
        <v>17</v>
      </c>
      <c r="U1" s="1411"/>
      <c r="V1" s="1411"/>
      <c r="W1" s="1411"/>
      <c r="X1" s="1405" t="s">
        <v>18</v>
      </c>
      <c r="Y1" s="1403" t="s">
        <v>41</v>
      </c>
      <c r="Z1" s="1370" t="s">
        <v>212</v>
      </c>
      <c r="AA1" s="1407" t="s">
        <v>44</v>
      </c>
      <c r="AB1" s="1399" t="s">
        <v>79</v>
      </c>
      <c r="AC1" s="1398" t="s">
        <v>80</v>
      </c>
      <c r="AD1" s="1398"/>
      <c r="AE1" s="1398"/>
      <c r="AF1" s="1398"/>
      <c r="AG1" s="1398"/>
      <c r="AH1" s="1402" t="s">
        <v>80</v>
      </c>
      <c r="AI1" s="1402"/>
    </row>
    <row r="2" spans="1:35" ht="15.75" thickBot="1">
      <c r="A2" s="1368"/>
      <c r="B2" s="1370"/>
      <c r="C2" s="1370"/>
      <c r="D2" s="82" t="s">
        <v>47</v>
      </c>
      <c r="E2" s="82" t="s">
        <v>46</v>
      </c>
      <c r="F2" s="82" t="s">
        <v>28</v>
      </c>
      <c r="G2" s="82" t="s">
        <v>1</v>
      </c>
      <c r="H2" s="82" t="s">
        <v>2</v>
      </c>
      <c r="I2" s="82" t="s">
        <v>3</v>
      </c>
      <c r="J2" s="82" t="s">
        <v>29</v>
      </c>
      <c r="K2" s="82" t="s">
        <v>5</v>
      </c>
      <c r="L2" s="82" t="s">
        <v>6</v>
      </c>
      <c r="M2" s="82" t="s">
        <v>7</v>
      </c>
      <c r="N2" s="82" t="s">
        <v>8</v>
      </c>
      <c r="O2" s="82" t="s">
        <v>9</v>
      </c>
      <c r="P2" s="82" t="s">
        <v>10</v>
      </c>
      <c r="Q2" s="82" t="s">
        <v>11</v>
      </c>
      <c r="R2" s="82" t="s">
        <v>12</v>
      </c>
      <c r="S2" s="82" t="s">
        <v>13</v>
      </c>
      <c r="T2" s="60" t="s">
        <v>1</v>
      </c>
      <c r="U2" s="60" t="s">
        <v>2</v>
      </c>
      <c r="V2" s="60" t="s">
        <v>3</v>
      </c>
      <c r="W2" s="61" t="s">
        <v>4</v>
      </c>
      <c r="X2" s="1406"/>
      <c r="Y2" s="1404"/>
      <c r="Z2" s="1401"/>
      <c r="AA2" s="1408"/>
      <c r="AB2" s="1400"/>
      <c r="AC2" s="62" t="s">
        <v>76</v>
      </c>
      <c r="AD2" s="62" t="s">
        <v>18</v>
      </c>
      <c r="AE2" s="62" t="s">
        <v>41</v>
      </c>
      <c r="AF2" s="62" t="s">
        <v>77</v>
      </c>
      <c r="AG2" s="62" t="s">
        <v>78</v>
      </c>
      <c r="AH2" s="63" t="s">
        <v>83</v>
      </c>
      <c r="AI2" s="63" t="s">
        <v>84</v>
      </c>
    </row>
    <row r="3" spans="1:35" hidden="1">
      <c r="A3" s="1350" t="s">
        <v>15</v>
      </c>
      <c r="B3" s="1353" t="s">
        <v>16</v>
      </c>
      <c r="C3" s="22" t="s">
        <v>19</v>
      </c>
      <c r="D3" s="23"/>
      <c r="E3" s="23"/>
      <c r="F3" s="1394">
        <v>1</v>
      </c>
      <c r="G3" s="1395"/>
      <c r="H3" s="1395"/>
      <c r="I3" s="1395"/>
      <c r="J3" s="1395"/>
      <c r="K3" s="1395"/>
      <c r="L3" s="1395"/>
      <c r="M3" s="1395"/>
      <c r="N3" s="1395"/>
      <c r="O3" s="1395"/>
      <c r="P3" s="1395"/>
      <c r="Q3" s="1395"/>
      <c r="R3" s="1395"/>
      <c r="S3" s="1395"/>
      <c r="T3" s="1395"/>
      <c r="U3" s="1395"/>
      <c r="V3" s="1395"/>
      <c r="W3" s="1395"/>
      <c r="X3" s="1395"/>
      <c r="Y3" s="23"/>
      <c r="Z3" s="23"/>
      <c r="AA3" s="23">
        <v>1</v>
      </c>
      <c r="AB3" s="64"/>
      <c r="AC3" s="65">
        <v>0</v>
      </c>
      <c r="AD3" s="65"/>
      <c r="AE3" s="65"/>
      <c r="AF3" s="65"/>
      <c r="AG3" s="65"/>
      <c r="AH3" s="65">
        <f>AC3+AD3+AE3+AF3+AG3</f>
        <v>0</v>
      </c>
      <c r="AI3" s="72"/>
    </row>
    <row r="4" spans="1:35" ht="30" hidden="1">
      <c r="A4" s="1351"/>
      <c r="B4" s="1354"/>
      <c r="C4" s="24" t="s">
        <v>20</v>
      </c>
      <c r="D4" s="24"/>
      <c r="E4" s="24"/>
      <c r="F4" s="24"/>
      <c r="G4" s="24">
        <v>3050</v>
      </c>
      <c r="H4" s="24">
        <v>1750</v>
      </c>
      <c r="I4" s="24" t="s">
        <v>271</v>
      </c>
      <c r="J4" s="24"/>
      <c r="K4" s="24"/>
      <c r="L4" s="24"/>
      <c r="M4" s="24"/>
      <c r="N4" s="24"/>
      <c r="O4" s="24"/>
      <c r="P4" s="24"/>
      <c r="Q4" s="24"/>
      <c r="R4" s="24"/>
      <c r="S4" s="24"/>
      <c r="T4" s="25"/>
      <c r="U4" s="25"/>
      <c r="V4" s="25"/>
      <c r="W4" s="26"/>
      <c r="X4" s="27"/>
      <c r="Y4" s="27"/>
      <c r="Z4" s="27"/>
      <c r="AA4" s="27"/>
      <c r="AB4" s="49"/>
      <c r="AC4" s="50">
        <f>D4*'Pret unitar apa'!I9+APA!E4*'Pret unitar apa'!I10+APA!H4*'Pret unitar apa'!I13+3255*'Pret unitar apa'!I14</f>
        <v>364622.35880924005</v>
      </c>
      <c r="AD4" s="50"/>
      <c r="AE4" s="50"/>
      <c r="AF4" s="50"/>
      <c r="AG4" s="50"/>
      <c r="AH4" s="50"/>
      <c r="AI4" s="67">
        <f>AC4+AD4+AE4+AF4+AG4</f>
        <v>364622.35880924005</v>
      </c>
    </row>
    <row r="5" spans="1:35" hidden="1">
      <c r="A5" s="1351"/>
      <c r="B5" s="1355" t="s">
        <v>22</v>
      </c>
      <c r="C5" s="37" t="s">
        <v>19</v>
      </c>
      <c r="D5" s="37"/>
      <c r="E5" s="37"/>
      <c r="F5" s="37"/>
      <c r="G5" s="37">
        <v>350</v>
      </c>
      <c r="H5" s="37"/>
      <c r="I5" s="37"/>
      <c r="J5" s="37"/>
      <c r="K5" s="37"/>
      <c r="L5" s="37"/>
      <c r="M5" s="37"/>
      <c r="N5" s="37"/>
      <c r="O5" s="37"/>
      <c r="P5" s="37"/>
      <c r="Q5" s="37"/>
      <c r="R5" s="37"/>
      <c r="S5" s="37"/>
      <c r="T5" s="28"/>
      <c r="U5" s="28"/>
      <c r="V5" s="28"/>
      <c r="W5" s="29"/>
      <c r="X5" s="30"/>
      <c r="Y5" s="30"/>
      <c r="Z5" s="42"/>
      <c r="AA5" s="42"/>
      <c r="AB5" s="49"/>
      <c r="AC5" s="50">
        <f>G5*'Pret unitar apa'!I12</f>
        <v>22784.692611800001</v>
      </c>
      <c r="AD5" s="50"/>
      <c r="AE5" s="50"/>
      <c r="AF5" s="50"/>
      <c r="AG5" s="50"/>
      <c r="AH5" s="50">
        <f>AC5+AD5+AE5+AF5+AG5</f>
        <v>22784.692611800001</v>
      </c>
      <c r="AI5" s="67"/>
    </row>
    <row r="6" spans="1:35" hidden="1">
      <c r="A6" s="1351"/>
      <c r="B6" s="1354"/>
      <c r="C6" s="24" t="s">
        <v>20</v>
      </c>
      <c r="D6" s="24"/>
      <c r="E6" s="24"/>
      <c r="F6" s="24"/>
      <c r="G6" s="24">
        <v>1200</v>
      </c>
      <c r="H6" s="24"/>
      <c r="I6" s="24"/>
      <c r="J6" s="24"/>
      <c r="K6" s="24"/>
      <c r="L6" s="24"/>
      <c r="M6" s="24"/>
      <c r="N6" s="24"/>
      <c r="O6" s="24"/>
      <c r="P6" s="24"/>
      <c r="Q6" s="24"/>
      <c r="R6" s="24"/>
      <c r="S6" s="24"/>
      <c r="T6" s="25"/>
      <c r="U6" s="25"/>
      <c r="V6" s="25"/>
      <c r="W6" s="26"/>
      <c r="X6" s="27"/>
      <c r="Y6" s="27"/>
      <c r="Z6" s="27"/>
      <c r="AA6" s="27" t="s">
        <v>45</v>
      </c>
      <c r="AB6" s="49"/>
      <c r="AC6" s="50">
        <f>G6*'Pret unitar apa'!I12</f>
        <v>78118.946097599997</v>
      </c>
      <c r="AD6" s="50"/>
      <c r="AE6" s="50"/>
      <c r="AF6" s="50"/>
      <c r="AG6" s="50">
        <v>150000</v>
      </c>
      <c r="AH6" s="50"/>
      <c r="AI6" s="67">
        <f>AC6+AD6+AE6+AF6+AG6</f>
        <v>228118.94609759998</v>
      </c>
    </row>
    <row r="7" spans="1:35" hidden="1">
      <c r="A7" s="1351"/>
      <c r="B7" s="1355" t="s">
        <v>23</v>
      </c>
      <c r="C7" s="37" t="s">
        <v>19</v>
      </c>
      <c r="D7" s="37"/>
      <c r="E7" s="37"/>
      <c r="F7" s="37"/>
      <c r="G7" s="37"/>
      <c r="H7" s="37">
        <v>1200</v>
      </c>
      <c r="I7" s="37"/>
      <c r="J7" s="37"/>
      <c r="K7" s="37"/>
      <c r="L7" s="37"/>
      <c r="M7" s="37"/>
      <c r="N7" s="37"/>
      <c r="O7" s="37"/>
      <c r="P7" s="37"/>
      <c r="Q7" s="37"/>
      <c r="R7" s="37"/>
      <c r="S7" s="37"/>
      <c r="T7" s="28"/>
      <c r="U7" s="28"/>
      <c r="V7" s="28"/>
      <c r="W7" s="29"/>
      <c r="X7" s="30"/>
      <c r="Y7" s="30"/>
      <c r="Z7" s="42"/>
      <c r="AA7" s="42"/>
      <c r="AB7" s="49"/>
      <c r="AC7" s="50">
        <f>G7*'Pret unitar apa'!I12</f>
        <v>0</v>
      </c>
      <c r="AD7" s="50"/>
      <c r="AE7" s="50"/>
      <c r="AF7" s="50"/>
      <c r="AG7" s="50"/>
      <c r="AH7" s="50">
        <f>AC7+AD7+AE7+AF7+AG7</f>
        <v>0</v>
      </c>
      <c r="AI7" s="67"/>
    </row>
    <row r="8" spans="1:35" ht="30.6" hidden="1" customHeight="1" thickBot="1">
      <c r="A8" s="1352"/>
      <c r="B8" s="1356"/>
      <c r="C8" s="21" t="s">
        <v>20</v>
      </c>
      <c r="D8" s="21"/>
      <c r="E8" s="21"/>
      <c r="F8" s="21"/>
      <c r="G8" s="21"/>
      <c r="H8" s="21">
        <v>900</v>
      </c>
      <c r="I8" s="21"/>
      <c r="J8" s="21"/>
      <c r="K8" s="21"/>
      <c r="L8" s="21"/>
      <c r="M8" s="21"/>
      <c r="N8" s="21"/>
      <c r="O8" s="21" t="s">
        <v>272</v>
      </c>
      <c r="P8" s="21"/>
      <c r="Q8" s="21"/>
      <c r="R8" s="21"/>
      <c r="S8" s="21"/>
      <c r="T8" s="31"/>
      <c r="U8" s="31"/>
      <c r="V8" s="31"/>
      <c r="W8" s="32"/>
      <c r="X8" s="33"/>
      <c r="Y8" s="33"/>
      <c r="Z8" s="33"/>
      <c r="AA8" s="33"/>
      <c r="AB8" s="117" t="s">
        <v>75</v>
      </c>
      <c r="AC8" s="70">
        <f>G8*'Pret unitar apa'!I12+6163*'Pret unitar apa'!I19</f>
        <v>1676323.0744880121</v>
      </c>
      <c r="AD8" s="70"/>
      <c r="AE8" s="70"/>
      <c r="AF8" s="70">
        <f>7*25*750</f>
        <v>131250</v>
      </c>
      <c r="AG8" s="70"/>
      <c r="AH8" s="70"/>
      <c r="AI8" s="71">
        <f>AC8+AD8+AE8+AF8+AG8</f>
        <v>1807573.0744880121</v>
      </c>
    </row>
    <row r="9" spans="1:35" ht="19.899999999999999" hidden="1" customHeight="1" thickBot="1">
      <c r="A9" s="1348" t="s">
        <v>91</v>
      </c>
      <c r="B9" s="1349"/>
      <c r="C9" s="1389"/>
      <c r="D9" s="1390"/>
      <c r="E9" s="1390"/>
      <c r="F9" s="1390"/>
      <c r="G9" s="1390"/>
      <c r="H9" s="1390"/>
      <c r="I9" s="1390"/>
      <c r="J9" s="1390"/>
      <c r="K9" s="1390"/>
      <c r="L9" s="1390"/>
      <c r="M9" s="1390"/>
      <c r="N9" s="1390"/>
      <c r="O9" s="1390"/>
      <c r="P9" s="1390"/>
      <c r="Q9" s="1390"/>
      <c r="R9" s="1390"/>
      <c r="S9" s="1390"/>
      <c r="T9" s="1390"/>
      <c r="U9" s="1390"/>
      <c r="V9" s="1390"/>
      <c r="W9" s="1390"/>
      <c r="X9" s="1390"/>
      <c r="Y9" s="1390"/>
      <c r="Z9" s="1390"/>
      <c r="AA9" s="1390"/>
      <c r="AB9" s="1390"/>
      <c r="AC9" s="1390"/>
      <c r="AD9" s="1390"/>
      <c r="AE9" s="1390"/>
      <c r="AF9" s="1390"/>
      <c r="AG9" s="1391"/>
      <c r="AH9" s="75">
        <f>AH3+AH5+AH7</f>
        <v>22784.692611800001</v>
      </c>
      <c r="AI9" s="76">
        <f>AI4+AI6+AI8</f>
        <v>2400314.3793948521</v>
      </c>
    </row>
    <row r="10" spans="1:35" hidden="1">
      <c r="A10" s="1363" t="s">
        <v>26</v>
      </c>
      <c r="B10" s="1365" t="s">
        <v>26</v>
      </c>
      <c r="C10" s="95" t="s">
        <v>19</v>
      </c>
      <c r="D10" s="95"/>
      <c r="E10" s="95"/>
      <c r="F10" s="95">
        <v>400</v>
      </c>
      <c r="G10" s="95">
        <v>1200</v>
      </c>
      <c r="H10" s="95"/>
      <c r="I10" s="95"/>
      <c r="J10" s="95">
        <v>1300</v>
      </c>
      <c r="K10" s="95"/>
      <c r="L10" s="95"/>
      <c r="M10" s="95"/>
      <c r="N10" s="95"/>
      <c r="O10" s="95"/>
      <c r="P10" s="95"/>
      <c r="Q10" s="95"/>
      <c r="R10" s="95"/>
      <c r="S10" s="95"/>
      <c r="T10" s="96"/>
      <c r="U10" s="96"/>
      <c r="V10" s="96"/>
      <c r="W10" s="97"/>
      <c r="X10" s="98"/>
      <c r="Y10" s="98"/>
      <c r="Z10" s="98"/>
      <c r="AA10" s="98"/>
      <c r="AB10" s="99"/>
      <c r="AC10" s="100">
        <f>F10*'Pret unitar apa'!I11+APA!G10*'Pret unitar apa'!I12+APA!J10*'Pret unitar apa'!I15</f>
        <v>216074.6392488</v>
      </c>
      <c r="AD10" s="100"/>
      <c r="AE10" s="100"/>
      <c r="AF10" s="100"/>
      <c r="AG10" s="100"/>
      <c r="AH10" s="100">
        <f>AC10+AD10+AE10+AF10+AG10</f>
        <v>216074.6392488</v>
      </c>
      <c r="AI10" s="101"/>
    </row>
    <row r="11" spans="1:35" hidden="1">
      <c r="A11" s="1371"/>
      <c r="B11" s="1372"/>
      <c r="C11" s="84" t="s">
        <v>20</v>
      </c>
      <c r="D11" s="85"/>
      <c r="E11" s="85"/>
      <c r="F11" s="85"/>
      <c r="G11" s="84"/>
      <c r="H11" s="84"/>
      <c r="I11" s="84"/>
      <c r="J11" s="84"/>
      <c r="K11" s="84"/>
      <c r="L11" s="84"/>
      <c r="M11" s="84"/>
      <c r="N11" s="84"/>
      <c r="O11" s="84"/>
      <c r="P11" s="84"/>
      <c r="Q11" s="84"/>
      <c r="R11" s="84"/>
      <c r="S11" s="84"/>
      <c r="T11" s="86"/>
      <c r="U11" s="86"/>
      <c r="V11" s="86"/>
      <c r="W11" s="87"/>
      <c r="X11" s="88"/>
      <c r="Y11" s="88"/>
      <c r="Z11" s="88"/>
      <c r="AA11" s="88"/>
      <c r="AB11" s="89"/>
      <c r="AC11" s="90">
        <v>0</v>
      </c>
      <c r="AD11" s="90"/>
      <c r="AE11" s="90"/>
      <c r="AF11" s="90"/>
      <c r="AG11" s="90"/>
      <c r="AH11" s="90"/>
      <c r="AI11" s="102">
        <f>AC11+AD11+AE11+AF11+AG11</f>
        <v>0</v>
      </c>
    </row>
    <row r="12" spans="1:35" hidden="1">
      <c r="A12" s="1371"/>
      <c r="B12" s="1373" t="s">
        <v>27</v>
      </c>
      <c r="C12" s="91" t="s">
        <v>19</v>
      </c>
      <c r="D12" s="91"/>
      <c r="E12" s="91"/>
      <c r="F12" s="91"/>
      <c r="G12" s="91">
        <v>3400</v>
      </c>
      <c r="H12" s="91">
        <v>3350</v>
      </c>
      <c r="I12" s="91"/>
      <c r="J12" s="91"/>
      <c r="K12" s="91"/>
      <c r="L12" s="91"/>
      <c r="M12" s="91"/>
      <c r="N12" s="91"/>
      <c r="O12" s="91"/>
      <c r="P12" s="91"/>
      <c r="Q12" s="91"/>
      <c r="R12" s="91"/>
      <c r="S12" s="91"/>
      <c r="T12" s="92"/>
      <c r="U12" s="92"/>
      <c r="V12" s="92"/>
      <c r="W12" s="93"/>
      <c r="X12" s="94"/>
      <c r="Y12" s="94"/>
      <c r="Z12" s="83"/>
      <c r="AA12" s="83"/>
      <c r="AB12" s="89"/>
      <c r="AC12" s="90">
        <f>G12*'Pret unitar apa'!I12+APA!H12*'Pret unitar apa'!I13</f>
        <v>455799.62982590002</v>
      </c>
      <c r="AD12" s="90"/>
      <c r="AE12" s="90"/>
      <c r="AF12" s="90"/>
      <c r="AG12" s="90"/>
      <c r="AH12" s="90">
        <f>AC12+AD12+AE12+AF12+AG12</f>
        <v>455799.62982590002</v>
      </c>
      <c r="AI12" s="102"/>
    </row>
    <row r="13" spans="1:35" ht="15.75" hidden="1" thickBot="1">
      <c r="A13" s="1364"/>
      <c r="B13" s="1366"/>
      <c r="C13" s="103" t="s">
        <v>20</v>
      </c>
      <c r="D13" s="103"/>
      <c r="E13" s="103"/>
      <c r="F13" s="103"/>
      <c r="G13" s="103"/>
      <c r="H13" s="103"/>
      <c r="I13" s="103"/>
      <c r="J13" s="103"/>
      <c r="K13" s="103"/>
      <c r="L13" s="103"/>
      <c r="M13" s="103"/>
      <c r="N13" s="103"/>
      <c r="O13" s="103"/>
      <c r="P13" s="103"/>
      <c r="Q13" s="103"/>
      <c r="R13" s="103"/>
      <c r="S13" s="103"/>
      <c r="T13" s="104"/>
      <c r="U13" s="104"/>
      <c r="V13" s="104"/>
      <c r="W13" s="105"/>
      <c r="X13" s="106"/>
      <c r="Y13" s="106"/>
      <c r="Z13" s="106"/>
      <c r="AA13" s="106"/>
      <c r="AB13" s="107"/>
      <c r="AC13" s="108">
        <v>0</v>
      </c>
      <c r="AD13" s="108"/>
      <c r="AE13" s="108"/>
      <c r="AF13" s="108"/>
      <c r="AG13" s="108"/>
      <c r="AH13" s="108"/>
      <c r="AI13" s="109">
        <f>AC13+AD13+AE13+AF13+AG13</f>
        <v>0</v>
      </c>
    </row>
    <row r="14" spans="1:35" ht="15.75" hidden="1" thickBot="1">
      <c r="A14" s="1348" t="s">
        <v>92</v>
      </c>
      <c r="B14" s="1349"/>
      <c r="C14" s="1389"/>
      <c r="D14" s="1390"/>
      <c r="E14" s="1390"/>
      <c r="F14" s="1390"/>
      <c r="G14" s="1390"/>
      <c r="H14" s="1390"/>
      <c r="I14" s="1390"/>
      <c r="J14" s="1390"/>
      <c r="K14" s="1390"/>
      <c r="L14" s="1390"/>
      <c r="M14" s="1390"/>
      <c r="N14" s="1390"/>
      <c r="O14" s="1390"/>
      <c r="P14" s="1390"/>
      <c r="Q14" s="1390"/>
      <c r="R14" s="1390"/>
      <c r="S14" s="1390"/>
      <c r="T14" s="1390"/>
      <c r="U14" s="1390"/>
      <c r="V14" s="1390"/>
      <c r="W14" s="1390"/>
      <c r="X14" s="1390"/>
      <c r="Y14" s="1390"/>
      <c r="Z14" s="1390"/>
      <c r="AA14" s="1390"/>
      <c r="AB14" s="1390"/>
      <c r="AC14" s="1390"/>
      <c r="AD14" s="1390"/>
      <c r="AE14" s="1390"/>
      <c r="AF14" s="1390"/>
      <c r="AG14" s="1391"/>
      <c r="AH14" s="75">
        <f>AH10+AH12</f>
        <v>671874.26907470007</v>
      </c>
      <c r="AI14" s="76">
        <f>AI11+AI13</f>
        <v>0</v>
      </c>
    </row>
    <row r="15" spans="1:35" hidden="1">
      <c r="A15" s="1350" t="s">
        <v>30</v>
      </c>
      <c r="B15" s="1353" t="s">
        <v>31</v>
      </c>
      <c r="C15" s="22" t="s">
        <v>19</v>
      </c>
      <c r="D15" s="23"/>
      <c r="E15" s="23"/>
      <c r="F15" s="1394">
        <v>1</v>
      </c>
      <c r="G15" s="1395"/>
      <c r="H15" s="1395"/>
      <c r="I15" s="1395"/>
      <c r="J15" s="1395"/>
      <c r="K15" s="1395"/>
      <c r="L15" s="1395"/>
      <c r="M15" s="1395"/>
      <c r="N15" s="1395"/>
      <c r="O15" s="1395"/>
      <c r="P15" s="1395"/>
      <c r="Q15" s="1395"/>
      <c r="R15" s="1395"/>
      <c r="S15" s="1395"/>
      <c r="T15" s="1395"/>
      <c r="U15" s="1395"/>
      <c r="V15" s="1395"/>
      <c r="W15" s="1395"/>
      <c r="X15" s="1395"/>
      <c r="Y15" s="23"/>
      <c r="Z15" s="23"/>
      <c r="AA15" s="23"/>
      <c r="AB15" s="64"/>
      <c r="AC15" s="65">
        <v>0</v>
      </c>
      <c r="AD15" s="65"/>
      <c r="AE15" s="65"/>
      <c r="AF15" s="65"/>
      <c r="AG15" s="65"/>
      <c r="AH15" s="65">
        <f>AC15+AD15+AE15+AF15+AG15</f>
        <v>0</v>
      </c>
      <c r="AI15" s="72"/>
    </row>
    <row r="16" spans="1:35" hidden="1">
      <c r="A16" s="1351"/>
      <c r="B16" s="1354"/>
      <c r="C16" s="24" t="s">
        <v>20</v>
      </c>
      <c r="D16" s="24"/>
      <c r="E16" s="24"/>
      <c r="F16" s="24"/>
      <c r="G16" s="24"/>
      <c r="H16" s="24"/>
      <c r="I16" s="24"/>
      <c r="J16" s="24"/>
      <c r="K16" s="24"/>
      <c r="L16" s="24"/>
      <c r="M16" s="24"/>
      <c r="N16" s="24"/>
      <c r="O16" s="24"/>
      <c r="P16" s="24"/>
      <c r="Q16" s="24"/>
      <c r="R16" s="24"/>
      <c r="S16" s="24"/>
      <c r="T16" s="25"/>
      <c r="U16" s="25"/>
      <c r="V16" s="25"/>
      <c r="W16" s="25"/>
      <c r="X16" s="24"/>
      <c r="Y16" s="27"/>
      <c r="Z16" s="27"/>
      <c r="AA16" s="27"/>
      <c r="AB16" s="49"/>
      <c r="AC16" s="50">
        <v>0</v>
      </c>
      <c r="AD16" s="50"/>
      <c r="AE16" s="50"/>
      <c r="AF16" s="50"/>
      <c r="AG16" s="50"/>
      <c r="AH16" s="50"/>
      <c r="AI16" s="67">
        <f>AC16+AD16+AE16+AF16+AG16</f>
        <v>0</v>
      </c>
    </row>
    <row r="17" spans="1:35" hidden="1">
      <c r="A17" s="1351"/>
      <c r="B17" s="1355" t="s">
        <v>30</v>
      </c>
      <c r="C17" s="36" t="s">
        <v>19</v>
      </c>
      <c r="D17" s="36"/>
      <c r="E17" s="36"/>
      <c r="F17" s="1392">
        <v>1</v>
      </c>
      <c r="G17" s="1393"/>
      <c r="H17" s="1393"/>
      <c r="I17" s="1393"/>
      <c r="J17" s="1393"/>
      <c r="K17" s="1393"/>
      <c r="L17" s="1393"/>
      <c r="M17" s="1393"/>
      <c r="N17" s="1393"/>
      <c r="O17" s="1393"/>
      <c r="P17" s="1393"/>
      <c r="Q17" s="1393"/>
      <c r="R17" s="1393"/>
      <c r="S17" s="1393"/>
      <c r="T17" s="1393"/>
      <c r="U17" s="1393"/>
      <c r="V17" s="1393"/>
      <c r="W17" s="1393"/>
      <c r="X17" s="1393"/>
      <c r="Y17" s="30"/>
      <c r="Z17" s="42"/>
      <c r="AA17" s="42"/>
      <c r="AB17" s="49"/>
      <c r="AC17" s="50">
        <v>0</v>
      </c>
      <c r="AD17" s="50"/>
      <c r="AE17" s="50"/>
      <c r="AF17" s="50"/>
      <c r="AG17" s="50"/>
      <c r="AH17" s="50">
        <f>AC17+AD17+AE17+AF17+AG17</f>
        <v>0</v>
      </c>
      <c r="AI17" s="67"/>
    </row>
    <row r="18" spans="1:35" hidden="1">
      <c r="A18" s="1351"/>
      <c r="B18" s="1354"/>
      <c r="C18" s="24" t="s">
        <v>20</v>
      </c>
      <c r="D18" s="24"/>
      <c r="E18" s="24"/>
      <c r="F18" s="24"/>
      <c r="G18" s="24"/>
      <c r="H18" s="24"/>
      <c r="I18" s="24"/>
      <c r="J18" s="24"/>
      <c r="K18" s="24"/>
      <c r="L18" s="24"/>
      <c r="M18" s="24"/>
      <c r="N18" s="24"/>
      <c r="O18" s="24"/>
      <c r="P18" s="24"/>
      <c r="Q18" s="24"/>
      <c r="R18" s="24"/>
      <c r="S18" s="24"/>
      <c r="T18" s="25"/>
      <c r="U18" s="25"/>
      <c r="V18" s="25"/>
      <c r="W18" s="25"/>
      <c r="X18" s="24"/>
      <c r="Y18" s="27"/>
      <c r="Z18" s="27"/>
      <c r="AA18" s="27"/>
      <c r="AB18" s="49"/>
      <c r="AC18" s="50">
        <v>0</v>
      </c>
      <c r="AD18" s="50"/>
      <c r="AE18" s="50"/>
      <c r="AF18" s="50"/>
      <c r="AG18" s="50"/>
      <c r="AH18" s="50"/>
      <c r="AI18" s="67">
        <f>AC18+AD18+AE18+AF18+AG18</f>
        <v>0</v>
      </c>
    </row>
    <row r="19" spans="1:35" hidden="1">
      <c r="A19" s="1351"/>
      <c r="B19" s="1355" t="s">
        <v>32</v>
      </c>
      <c r="C19" s="36" t="s">
        <v>19</v>
      </c>
      <c r="D19" s="42"/>
      <c r="E19" s="42"/>
      <c r="F19" s="1396">
        <v>1</v>
      </c>
      <c r="G19" s="1397"/>
      <c r="H19" s="1397"/>
      <c r="I19" s="1397"/>
      <c r="J19" s="1397"/>
      <c r="K19" s="1397"/>
      <c r="L19" s="1397"/>
      <c r="M19" s="1397"/>
      <c r="N19" s="1397"/>
      <c r="O19" s="1397"/>
      <c r="P19" s="1397"/>
      <c r="Q19" s="1397"/>
      <c r="R19" s="1397"/>
      <c r="S19" s="1397"/>
      <c r="T19" s="1397"/>
      <c r="U19" s="1397"/>
      <c r="V19" s="1397"/>
      <c r="W19" s="1397"/>
      <c r="X19" s="1397"/>
      <c r="Y19" s="30"/>
      <c r="Z19" s="42"/>
      <c r="AA19" s="42"/>
      <c r="AB19" s="49"/>
      <c r="AC19" s="50">
        <v>0</v>
      </c>
      <c r="AD19" s="50"/>
      <c r="AE19" s="50"/>
      <c r="AF19" s="50"/>
      <c r="AG19" s="50"/>
      <c r="AH19" s="50">
        <f>AC19+AD19+AE19+AF19+AG19</f>
        <v>0</v>
      </c>
      <c r="AI19" s="67"/>
    </row>
    <row r="20" spans="1:35" ht="15.75" hidden="1" thickBot="1">
      <c r="A20" s="1352"/>
      <c r="B20" s="1356"/>
      <c r="C20" s="21" t="s">
        <v>20</v>
      </c>
      <c r="D20" s="21"/>
      <c r="E20" s="21"/>
      <c r="F20" s="21"/>
      <c r="G20" s="21"/>
      <c r="H20" s="21"/>
      <c r="I20" s="21"/>
      <c r="J20" s="21"/>
      <c r="K20" s="21"/>
      <c r="L20" s="21"/>
      <c r="M20" s="21"/>
      <c r="N20" s="21"/>
      <c r="O20" s="21"/>
      <c r="P20" s="21"/>
      <c r="Q20" s="21"/>
      <c r="R20" s="21"/>
      <c r="S20" s="21"/>
      <c r="T20" s="31"/>
      <c r="U20" s="31"/>
      <c r="V20" s="31"/>
      <c r="W20" s="32"/>
      <c r="X20" s="33"/>
      <c r="Y20" s="33"/>
      <c r="Z20" s="33"/>
      <c r="AA20" s="33"/>
      <c r="AB20" s="69"/>
      <c r="AC20" s="70">
        <v>0</v>
      </c>
      <c r="AD20" s="70"/>
      <c r="AE20" s="70"/>
      <c r="AF20" s="70"/>
      <c r="AG20" s="70"/>
      <c r="AH20" s="70"/>
      <c r="AI20" s="71">
        <f>AC20+AD20+AE20+AF20+AG20</f>
        <v>0</v>
      </c>
    </row>
    <row r="21" spans="1:35" ht="15.75" thickBot="1">
      <c r="A21" s="1348" t="s">
        <v>93</v>
      </c>
      <c r="B21" s="1349"/>
      <c r="C21" s="1389"/>
      <c r="D21" s="1390"/>
      <c r="E21" s="1390"/>
      <c r="F21" s="1390"/>
      <c r="G21" s="1390"/>
      <c r="H21" s="1390"/>
      <c r="I21" s="1390"/>
      <c r="J21" s="1390"/>
      <c r="K21" s="1390"/>
      <c r="L21" s="1390"/>
      <c r="M21" s="1390"/>
      <c r="N21" s="1390"/>
      <c r="O21" s="1390"/>
      <c r="P21" s="1390"/>
      <c r="Q21" s="1390"/>
      <c r="R21" s="1390"/>
      <c r="S21" s="1390"/>
      <c r="T21" s="1390"/>
      <c r="U21" s="1390"/>
      <c r="V21" s="1390"/>
      <c r="W21" s="1390"/>
      <c r="X21" s="1390"/>
      <c r="Y21" s="1390"/>
      <c r="Z21" s="1390"/>
      <c r="AA21" s="1390"/>
      <c r="AB21" s="1390"/>
      <c r="AC21" s="1390"/>
      <c r="AD21" s="1390"/>
      <c r="AE21" s="1390"/>
      <c r="AF21" s="1390"/>
      <c r="AG21" s="1391"/>
      <c r="AH21" s="75">
        <f>AH15+AH17+AH19</f>
        <v>0</v>
      </c>
      <c r="AI21" s="76">
        <f>AI16+AI18+AI20</f>
        <v>0</v>
      </c>
    </row>
    <row r="22" spans="1:35" hidden="1">
      <c r="A22" s="1350" t="s">
        <v>33</v>
      </c>
      <c r="B22" s="1353" t="s">
        <v>33</v>
      </c>
      <c r="C22" s="22" t="s">
        <v>19</v>
      </c>
      <c r="D22" s="22"/>
      <c r="E22" s="22"/>
      <c r="F22" s="22"/>
      <c r="G22" s="22">
        <v>6600</v>
      </c>
      <c r="H22" s="22"/>
      <c r="I22" s="22"/>
      <c r="J22" s="22"/>
      <c r="K22" s="22"/>
      <c r="L22" s="22"/>
      <c r="M22" s="22"/>
      <c r="N22" s="22"/>
      <c r="O22" s="22"/>
      <c r="P22" s="22"/>
      <c r="Q22" s="22"/>
      <c r="R22" s="22"/>
      <c r="S22" s="22"/>
      <c r="T22" s="34"/>
      <c r="U22" s="34"/>
      <c r="V22" s="34"/>
      <c r="W22" s="35"/>
      <c r="X22" s="23"/>
      <c r="Y22" s="23"/>
      <c r="Z22" s="23"/>
      <c r="AA22" s="23"/>
      <c r="AB22" s="64"/>
      <c r="AC22" s="65">
        <f>G22*'Pret unitar apa'!I12</f>
        <v>429654.20353679999</v>
      </c>
      <c r="AD22" s="65"/>
      <c r="AE22" s="65"/>
      <c r="AF22" s="65"/>
      <c r="AG22" s="65"/>
      <c r="AH22" s="65">
        <f>AC22+AD22+AE22+AF22+AG22</f>
        <v>429654.20353679999</v>
      </c>
      <c r="AI22" s="72"/>
    </row>
    <row r="23" spans="1:35" ht="15.75" hidden="1" thickBot="1">
      <c r="A23" s="1352"/>
      <c r="B23" s="1356"/>
      <c r="C23" s="21" t="s">
        <v>20</v>
      </c>
      <c r="D23" s="21"/>
      <c r="E23" s="21"/>
      <c r="F23" s="21"/>
      <c r="G23" s="21">
        <v>1350</v>
      </c>
      <c r="H23" s="21"/>
      <c r="I23" s="21"/>
      <c r="J23" s="21"/>
      <c r="K23" s="21"/>
      <c r="L23" s="21"/>
      <c r="M23" s="21"/>
      <c r="N23" s="21"/>
      <c r="O23" s="21"/>
      <c r="P23" s="21"/>
      <c r="Q23" s="21">
        <v>12600</v>
      </c>
      <c r="R23" s="21"/>
      <c r="S23" s="21"/>
      <c r="T23" s="31"/>
      <c r="U23" s="31"/>
      <c r="V23" s="31"/>
      <c r="W23" s="32"/>
      <c r="X23" s="33"/>
      <c r="Y23" s="33"/>
      <c r="Z23" s="33"/>
      <c r="AA23" s="33"/>
      <c r="AB23" s="69"/>
      <c r="AC23" s="70">
        <f>G23*'Pret unitar apa'!I12</f>
        <v>87883.814359800002</v>
      </c>
      <c r="AD23" s="70"/>
      <c r="AE23" s="70"/>
      <c r="AF23" s="70"/>
      <c r="AG23" s="70"/>
      <c r="AH23" s="70"/>
      <c r="AI23" s="71">
        <f>AC23+AD23+AE23+AF23+AG23</f>
        <v>87883.814359800002</v>
      </c>
    </row>
    <row r="24" spans="1:35" ht="15.75" thickBot="1">
      <c r="A24" s="1348" t="s">
        <v>94</v>
      </c>
      <c r="B24" s="1349"/>
      <c r="C24" s="1389"/>
      <c r="D24" s="1390"/>
      <c r="E24" s="1390"/>
      <c r="F24" s="1390"/>
      <c r="G24" s="1390"/>
      <c r="H24" s="1390"/>
      <c r="I24" s="1390"/>
      <c r="J24" s="1390"/>
      <c r="K24" s="1390"/>
      <c r="L24" s="1390"/>
      <c r="M24" s="1390"/>
      <c r="N24" s="1390"/>
      <c r="O24" s="1390"/>
      <c r="P24" s="1390"/>
      <c r="Q24" s="1390"/>
      <c r="R24" s="1390"/>
      <c r="S24" s="1390"/>
      <c r="T24" s="1390"/>
      <c r="U24" s="1390"/>
      <c r="V24" s="1390"/>
      <c r="W24" s="1390"/>
      <c r="X24" s="1390"/>
      <c r="Y24" s="1390"/>
      <c r="Z24" s="1390"/>
      <c r="AA24" s="1390"/>
      <c r="AB24" s="1390"/>
      <c r="AC24" s="1390"/>
      <c r="AD24" s="1390"/>
      <c r="AE24" s="1390"/>
      <c r="AF24" s="1390"/>
      <c r="AG24" s="1391"/>
      <c r="AH24" s="75">
        <f>AH22</f>
        <v>429654.20353679999</v>
      </c>
      <c r="AI24" s="76">
        <f>AI23</f>
        <v>87883.814359800002</v>
      </c>
    </row>
    <row r="25" spans="1:35">
      <c r="A25" s="1357" t="s">
        <v>34</v>
      </c>
      <c r="B25" s="1360" t="s">
        <v>34</v>
      </c>
      <c r="C25" s="22" t="s">
        <v>19</v>
      </c>
      <c r="D25" s="23"/>
      <c r="E25" s="23"/>
      <c r="F25" s="1394">
        <v>1</v>
      </c>
      <c r="G25" s="1395"/>
      <c r="H25" s="1395"/>
      <c r="I25" s="1395"/>
      <c r="J25" s="1395"/>
      <c r="K25" s="1395"/>
      <c r="L25" s="1395"/>
      <c r="M25" s="1395"/>
      <c r="N25" s="1395"/>
      <c r="O25" s="1395"/>
      <c r="P25" s="1395"/>
      <c r="Q25" s="1395"/>
      <c r="R25" s="1395"/>
      <c r="S25" s="1395"/>
      <c r="T25" s="1395"/>
      <c r="U25" s="1395"/>
      <c r="V25" s="1395"/>
      <c r="W25" s="1395"/>
      <c r="X25" s="1395"/>
      <c r="Y25" s="212">
        <v>0</v>
      </c>
      <c r="Z25" s="212"/>
      <c r="AA25" s="23"/>
      <c r="AB25" s="64"/>
      <c r="AC25" s="65">
        <v>0</v>
      </c>
      <c r="AD25" s="65"/>
      <c r="AE25" s="65"/>
      <c r="AF25" s="65"/>
      <c r="AG25" s="65"/>
      <c r="AH25" s="65">
        <f>AC25+AD25+AE25+AF25+AG25</f>
        <v>0</v>
      </c>
      <c r="AI25" s="72"/>
    </row>
    <row r="26" spans="1:35">
      <c r="A26" s="1358"/>
      <c r="B26" s="1361"/>
      <c r="C26" s="24" t="s">
        <v>20</v>
      </c>
      <c r="D26" s="24"/>
      <c r="E26" s="24"/>
      <c r="F26" s="24"/>
      <c r="G26" s="24"/>
      <c r="H26" s="24"/>
      <c r="I26" s="24"/>
      <c r="J26" s="24"/>
      <c r="K26" s="24"/>
      <c r="L26" s="24"/>
      <c r="M26" s="24"/>
      <c r="N26" s="24"/>
      <c r="O26" s="24"/>
      <c r="P26" s="24"/>
      <c r="Q26" s="24"/>
      <c r="R26" s="24"/>
      <c r="S26" s="24"/>
      <c r="T26" s="25"/>
      <c r="U26" s="25"/>
      <c r="V26" s="25"/>
      <c r="W26" s="25"/>
      <c r="X26" s="24"/>
      <c r="Y26" s="27"/>
      <c r="Z26" s="27"/>
      <c r="AA26" s="27"/>
      <c r="AB26" s="49"/>
      <c r="AC26" s="50">
        <v>0</v>
      </c>
      <c r="AD26" s="50"/>
      <c r="AE26" s="50"/>
      <c r="AF26" s="50"/>
      <c r="AG26" s="50"/>
      <c r="AH26" s="50"/>
      <c r="AI26" s="67">
        <f>AC26+AD26+AE26+AF26+AG26</f>
        <v>0</v>
      </c>
    </row>
    <row r="27" spans="1:35">
      <c r="A27" s="1358"/>
      <c r="B27" s="1361" t="s">
        <v>35</v>
      </c>
      <c r="C27" s="37" t="s">
        <v>19</v>
      </c>
      <c r="D27" s="37"/>
      <c r="E27" s="37"/>
      <c r="F27" s="1392">
        <v>1</v>
      </c>
      <c r="G27" s="1393"/>
      <c r="H27" s="1393"/>
      <c r="I27" s="1393"/>
      <c r="J27" s="1393"/>
      <c r="K27" s="1393"/>
      <c r="L27" s="1393"/>
      <c r="M27" s="1393"/>
      <c r="N27" s="1393"/>
      <c r="O27" s="1393"/>
      <c r="P27" s="1393"/>
      <c r="Q27" s="1393"/>
      <c r="R27" s="1393"/>
      <c r="S27" s="1393"/>
      <c r="T27" s="1393"/>
      <c r="U27" s="1393"/>
      <c r="V27" s="1393"/>
      <c r="W27" s="1393"/>
      <c r="X27" s="1393"/>
      <c r="Y27" s="213">
        <v>0</v>
      </c>
      <c r="Z27" s="213"/>
      <c r="AA27" s="30"/>
      <c r="AB27" s="49"/>
      <c r="AC27" s="50">
        <v>0</v>
      </c>
      <c r="AD27" s="50"/>
      <c r="AE27" s="50"/>
      <c r="AF27" s="50"/>
      <c r="AG27" s="50"/>
      <c r="AH27" s="50">
        <f>AC27+AD27+AE27+AF27+AG27</f>
        <v>0</v>
      </c>
      <c r="AI27" s="67"/>
    </row>
    <row r="28" spans="1:35">
      <c r="A28" s="1358"/>
      <c r="B28" s="1361"/>
      <c r="C28" s="24" t="s">
        <v>20</v>
      </c>
      <c r="D28" s="24"/>
      <c r="E28" s="24"/>
      <c r="F28" s="24"/>
      <c r="G28" s="24"/>
      <c r="H28" s="24"/>
      <c r="I28" s="24"/>
      <c r="J28" s="24"/>
      <c r="K28" s="24"/>
      <c r="L28" s="24"/>
      <c r="M28" s="24"/>
      <c r="N28" s="24"/>
      <c r="O28" s="24"/>
      <c r="P28" s="24"/>
      <c r="Q28" s="24"/>
      <c r="R28" s="24"/>
      <c r="S28" s="24"/>
      <c r="T28" s="25"/>
      <c r="U28" s="25"/>
      <c r="V28" s="25"/>
      <c r="W28" s="25"/>
      <c r="X28" s="24"/>
      <c r="Y28" s="27"/>
      <c r="Z28" s="27"/>
      <c r="AA28" s="27"/>
      <c r="AB28" s="49"/>
      <c r="AC28" s="50">
        <v>0</v>
      </c>
      <c r="AD28" s="50"/>
      <c r="AE28" s="50"/>
      <c r="AF28" s="50"/>
      <c r="AG28" s="50"/>
      <c r="AH28" s="50"/>
      <c r="AI28" s="67">
        <f>AC28+AD28+AE28+AF28+AG28</f>
        <v>0</v>
      </c>
    </row>
    <row r="29" spans="1:35">
      <c r="A29" s="1358"/>
      <c r="B29" s="1361" t="s">
        <v>36</v>
      </c>
      <c r="C29" s="37" t="s">
        <v>19</v>
      </c>
      <c r="D29" s="37"/>
      <c r="E29" s="37"/>
      <c r="F29" s="37"/>
      <c r="G29" s="211">
        <v>0</v>
      </c>
      <c r="H29" s="37"/>
      <c r="I29" s="37"/>
      <c r="J29" s="37"/>
      <c r="K29" s="37"/>
      <c r="L29" s="37"/>
      <c r="M29" s="37"/>
      <c r="N29" s="37"/>
      <c r="O29" s="37"/>
      <c r="P29" s="37"/>
      <c r="Q29" s="37"/>
      <c r="R29" s="37"/>
      <c r="S29" s="37"/>
      <c r="T29" s="28"/>
      <c r="U29" s="28"/>
      <c r="V29" s="28"/>
      <c r="W29" s="28"/>
      <c r="X29" s="37"/>
      <c r="Y29" s="30"/>
      <c r="Z29" s="30"/>
      <c r="AA29" s="30"/>
      <c r="AB29" s="49"/>
      <c r="AC29" s="50">
        <v>0</v>
      </c>
      <c r="AD29" s="50"/>
      <c r="AE29" s="50"/>
      <c r="AF29" s="50"/>
      <c r="AG29" s="50"/>
      <c r="AH29" s="50">
        <f>AC29+AD29+AE29+AF29+AG29</f>
        <v>0</v>
      </c>
      <c r="AI29" s="67"/>
    </row>
    <row r="30" spans="1:35">
      <c r="A30" s="1358"/>
      <c r="B30" s="1361"/>
      <c r="C30" s="24" t="s">
        <v>20</v>
      </c>
      <c r="D30" s="24"/>
      <c r="E30" s="24"/>
      <c r="F30" s="24"/>
      <c r="G30" s="24"/>
      <c r="H30" s="24"/>
      <c r="I30" s="24"/>
      <c r="J30" s="24"/>
      <c r="K30" s="24"/>
      <c r="L30" s="24"/>
      <c r="M30" s="24"/>
      <c r="N30" s="24"/>
      <c r="O30" s="24"/>
      <c r="P30" s="24"/>
      <c r="Q30" s="24"/>
      <c r="R30" s="24"/>
      <c r="S30" s="24"/>
      <c r="T30" s="25"/>
      <c r="U30" s="25"/>
      <c r="V30" s="25"/>
      <c r="W30" s="25"/>
      <c r="X30" s="24"/>
      <c r="Y30" s="27"/>
      <c r="Z30" s="27"/>
      <c r="AA30" s="27"/>
      <c r="AB30" s="49"/>
      <c r="AC30" s="50">
        <v>0</v>
      </c>
      <c r="AD30" s="50"/>
      <c r="AE30" s="50"/>
      <c r="AF30" s="50"/>
      <c r="AG30" s="50"/>
      <c r="AH30" s="50"/>
      <c r="AI30" s="67">
        <f>AC30+AD30+AE30+AF30+AG30</f>
        <v>0</v>
      </c>
    </row>
    <row r="31" spans="1:35">
      <c r="A31" s="1358"/>
      <c r="B31" s="1361" t="s">
        <v>39</v>
      </c>
      <c r="C31" s="37" t="s">
        <v>19</v>
      </c>
      <c r="D31" s="37"/>
      <c r="E31" s="37"/>
      <c r="F31" s="214"/>
      <c r="G31" s="216">
        <v>0</v>
      </c>
      <c r="H31" s="39"/>
      <c r="I31" s="39"/>
      <c r="J31" s="39"/>
      <c r="K31" s="39"/>
      <c r="L31" s="39"/>
      <c r="M31" s="39"/>
      <c r="N31" s="39"/>
      <c r="O31" s="39"/>
      <c r="P31" s="39"/>
      <c r="Q31" s="39"/>
      <c r="R31" s="39"/>
      <c r="S31" s="39"/>
      <c r="T31" s="39"/>
      <c r="U31" s="39"/>
      <c r="V31" s="39"/>
      <c r="W31" s="39"/>
      <c r="X31" s="215"/>
      <c r="Y31" s="213">
        <v>0</v>
      </c>
      <c r="Z31" s="213"/>
      <c r="AA31" s="30"/>
      <c r="AB31" s="49"/>
      <c r="AC31" s="50">
        <v>0</v>
      </c>
      <c r="AD31" s="50"/>
      <c r="AE31" s="50"/>
      <c r="AF31" s="50"/>
      <c r="AG31" s="50"/>
      <c r="AH31" s="50">
        <f>AC31+AD31+AE31+AF31+AG31</f>
        <v>0</v>
      </c>
      <c r="AI31" s="67"/>
    </row>
    <row r="32" spans="1:35">
      <c r="A32" s="1358"/>
      <c r="B32" s="1361"/>
      <c r="C32" s="24" t="s">
        <v>20</v>
      </c>
      <c r="D32" s="24"/>
      <c r="E32" s="24"/>
      <c r="F32" s="24"/>
      <c r="G32" s="24"/>
      <c r="H32" s="24"/>
      <c r="I32" s="24"/>
      <c r="J32" s="24"/>
      <c r="K32" s="24"/>
      <c r="L32" s="24"/>
      <c r="M32" s="24"/>
      <c r="N32" s="24"/>
      <c r="O32" s="24"/>
      <c r="P32" s="24"/>
      <c r="Q32" s="24"/>
      <c r="R32" s="24"/>
      <c r="S32" s="24"/>
      <c r="T32" s="25"/>
      <c r="U32" s="25"/>
      <c r="V32" s="25"/>
      <c r="W32" s="25"/>
      <c r="X32" s="24"/>
      <c r="Y32" s="27"/>
      <c r="Z32" s="27"/>
      <c r="AA32" s="27"/>
      <c r="AB32" s="49"/>
      <c r="AC32" s="50">
        <v>0</v>
      </c>
      <c r="AD32" s="50"/>
      <c r="AE32" s="50"/>
      <c r="AF32" s="50"/>
      <c r="AG32" s="50"/>
      <c r="AH32" s="50"/>
      <c r="AI32" s="67">
        <f>AC32+AD32+AE32+AF32+AG32</f>
        <v>0</v>
      </c>
    </row>
    <row r="33" spans="1:35">
      <c r="A33" s="1358"/>
      <c r="B33" s="1361" t="s">
        <v>37</v>
      </c>
      <c r="C33" s="37" t="s">
        <v>19</v>
      </c>
      <c r="D33" s="37"/>
      <c r="E33" s="37"/>
      <c r="F33" s="37"/>
      <c r="G33" s="211">
        <v>0</v>
      </c>
      <c r="H33" s="211">
        <v>0</v>
      </c>
      <c r="I33" s="37"/>
      <c r="J33" s="37"/>
      <c r="K33" s="37"/>
      <c r="L33" s="37"/>
      <c r="M33" s="37"/>
      <c r="N33" s="37"/>
      <c r="O33" s="37"/>
      <c r="P33" s="37"/>
      <c r="Q33" s="37"/>
      <c r="R33" s="37"/>
      <c r="S33" s="37"/>
      <c r="T33" s="28"/>
      <c r="U33" s="28"/>
      <c r="V33" s="28"/>
      <c r="W33" s="28"/>
      <c r="X33" s="37"/>
      <c r="Y33" s="30"/>
      <c r="Z33" s="30"/>
      <c r="AA33" s="30"/>
      <c r="AB33" s="49"/>
      <c r="AC33" s="50">
        <v>0</v>
      </c>
      <c r="AD33" s="50"/>
      <c r="AE33" s="50"/>
      <c r="AF33" s="50"/>
      <c r="AG33" s="50"/>
      <c r="AH33" s="50">
        <f>AC33+AD33+AE33+AF33+AG33</f>
        <v>0</v>
      </c>
      <c r="AI33" s="67"/>
    </row>
    <row r="34" spans="1:35">
      <c r="A34" s="1358"/>
      <c r="B34" s="1361"/>
      <c r="C34" s="24" t="s">
        <v>20</v>
      </c>
      <c r="D34" s="24"/>
      <c r="E34" s="24"/>
      <c r="F34" s="24"/>
      <c r="G34" s="24"/>
      <c r="H34" s="24"/>
      <c r="I34" s="24"/>
      <c r="J34" s="24"/>
      <c r="K34" s="24"/>
      <c r="L34" s="24"/>
      <c r="M34" s="24"/>
      <c r="N34" s="24"/>
      <c r="O34" s="24"/>
      <c r="P34" s="24"/>
      <c r="Q34" s="24"/>
      <c r="R34" s="24"/>
      <c r="S34" s="24"/>
      <c r="T34" s="25"/>
      <c r="U34" s="25"/>
      <c r="V34" s="25"/>
      <c r="W34" s="25"/>
      <c r="X34" s="24"/>
      <c r="Y34" s="27"/>
      <c r="Z34" s="27"/>
      <c r="AA34" s="27"/>
      <c r="AB34" s="49"/>
      <c r="AC34" s="50">
        <v>0</v>
      </c>
      <c r="AD34" s="50"/>
      <c r="AE34" s="50"/>
      <c r="AF34" s="50"/>
      <c r="AG34" s="50"/>
      <c r="AH34" s="50"/>
      <c r="AI34" s="67">
        <f>AC34+AD34+AE34+AF34+AG34</f>
        <v>0</v>
      </c>
    </row>
    <row r="35" spans="1:35">
      <c r="A35" s="1358"/>
      <c r="B35" s="1361" t="s">
        <v>38</v>
      </c>
      <c r="C35" s="37" t="s">
        <v>19</v>
      </c>
      <c r="D35" s="37"/>
      <c r="E35" s="37"/>
      <c r="F35" s="37"/>
      <c r="G35" s="211">
        <v>0</v>
      </c>
      <c r="H35" s="37"/>
      <c r="I35" s="37"/>
      <c r="J35" s="37"/>
      <c r="K35" s="37"/>
      <c r="L35" s="37"/>
      <c r="M35" s="37"/>
      <c r="N35" s="37"/>
      <c r="O35" s="37"/>
      <c r="P35" s="37"/>
      <c r="Q35" s="37"/>
      <c r="R35" s="37"/>
      <c r="S35" s="37"/>
      <c r="T35" s="28"/>
      <c r="U35" s="28"/>
      <c r="V35" s="28"/>
      <c r="W35" s="28"/>
      <c r="X35" s="37"/>
      <c r="Y35" s="30"/>
      <c r="Z35" s="42"/>
      <c r="AA35" s="42"/>
      <c r="AB35" s="49"/>
      <c r="AC35" s="50">
        <v>0</v>
      </c>
      <c r="AD35" s="50"/>
      <c r="AE35" s="50"/>
      <c r="AF35" s="50"/>
      <c r="AG35" s="50"/>
      <c r="AH35" s="50">
        <f>AC35+AD35+AE35+AF35+AG35</f>
        <v>0</v>
      </c>
      <c r="AI35" s="67"/>
    </row>
    <row r="36" spans="1:35" ht="15.75" thickBot="1">
      <c r="A36" s="1359"/>
      <c r="B36" s="1362"/>
      <c r="C36" s="21" t="s">
        <v>20</v>
      </c>
      <c r="D36" s="21"/>
      <c r="E36" s="21"/>
      <c r="F36" s="21"/>
      <c r="G36" s="21"/>
      <c r="H36" s="21"/>
      <c r="I36" s="21"/>
      <c r="J36" s="21"/>
      <c r="K36" s="21"/>
      <c r="L36" s="21"/>
      <c r="M36" s="21"/>
      <c r="N36" s="21"/>
      <c r="O36" s="21"/>
      <c r="P36" s="21"/>
      <c r="Q36" s="21"/>
      <c r="R36" s="21"/>
      <c r="S36" s="21"/>
      <c r="T36" s="31"/>
      <c r="U36" s="31"/>
      <c r="V36" s="31"/>
      <c r="W36" s="32"/>
      <c r="X36" s="33"/>
      <c r="Y36" s="33"/>
      <c r="Z36" s="33"/>
      <c r="AA36" s="33"/>
      <c r="AB36" s="69"/>
      <c r="AC36" s="70">
        <v>0</v>
      </c>
      <c r="AD36" s="70"/>
      <c r="AE36" s="70"/>
      <c r="AF36" s="70"/>
      <c r="AG36" s="70"/>
      <c r="AH36" s="70"/>
      <c r="AI36" s="71">
        <f>AC36+AD36+AE36+AF36+AG36</f>
        <v>0</v>
      </c>
    </row>
    <row r="37" spans="1:35" ht="15.75" thickBot="1">
      <c r="A37" s="1348" t="s">
        <v>95</v>
      </c>
      <c r="B37" s="1349"/>
      <c r="C37" s="1389"/>
      <c r="D37" s="1390"/>
      <c r="E37" s="1390"/>
      <c r="F37" s="1390"/>
      <c r="G37" s="1390"/>
      <c r="H37" s="1390"/>
      <c r="I37" s="1390"/>
      <c r="J37" s="1390"/>
      <c r="K37" s="1390"/>
      <c r="L37" s="1390"/>
      <c r="M37" s="1390"/>
      <c r="N37" s="1390"/>
      <c r="O37" s="1390"/>
      <c r="P37" s="1390"/>
      <c r="Q37" s="1390"/>
      <c r="R37" s="1390"/>
      <c r="S37" s="1390"/>
      <c r="T37" s="1390"/>
      <c r="U37" s="1390"/>
      <c r="V37" s="1390"/>
      <c r="W37" s="1390"/>
      <c r="X37" s="1390"/>
      <c r="Y37" s="1390"/>
      <c r="Z37" s="1390"/>
      <c r="AA37" s="1390"/>
      <c r="AB37" s="1390"/>
      <c r="AC37" s="1390"/>
      <c r="AD37" s="1390"/>
      <c r="AE37" s="1390"/>
      <c r="AF37" s="1390"/>
      <c r="AG37" s="1391"/>
      <c r="AH37" s="75">
        <f>AH25+AH27+AH29+AH31+AH33+AH35</f>
        <v>0</v>
      </c>
      <c r="AI37" s="76">
        <f>AI26+AI28+AI30+AI32+AI34+AI36</f>
        <v>0</v>
      </c>
    </row>
    <row r="38" spans="1:35" hidden="1">
      <c r="A38" s="1350" t="s">
        <v>42</v>
      </c>
      <c r="B38" s="1353" t="s">
        <v>42</v>
      </c>
      <c r="C38" s="22" t="s">
        <v>19</v>
      </c>
      <c r="D38" s="23"/>
      <c r="E38" s="23"/>
      <c r="F38" s="1394">
        <v>1</v>
      </c>
      <c r="G38" s="1419"/>
      <c r="H38" s="1419"/>
      <c r="I38" s="1419"/>
      <c r="J38" s="1419"/>
      <c r="K38" s="1419"/>
      <c r="L38" s="1419"/>
      <c r="M38" s="1419"/>
      <c r="N38" s="1419"/>
      <c r="O38" s="1419"/>
      <c r="P38" s="1419"/>
      <c r="Q38" s="1419"/>
      <c r="R38" s="1419"/>
      <c r="S38" s="1419"/>
      <c r="T38" s="1419"/>
      <c r="U38" s="1419"/>
      <c r="V38" s="1419"/>
      <c r="W38" s="1419"/>
      <c r="X38" s="1419"/>
      <c r="Y38" s="38"/>
      <c r="Z38" s="38"/>
      <c r="AA38" s="23"/>
      <c r="AB38" s="64"/>
      <c r="AC38" s="65">
        <v>0</v>
      </c>
      <c r="AD38" s="65"/>
      <c r="AE38" s="65"/>
      <c r="AF38" s="65"/>
      <c r="AG38" s="65"/>
      <c r="AH38" s="65">
        <f>AC38+AD38+AE38+AF38+AG38</f>
        <v>0</v>
      </c>
      <c r="AI38" s="72"/>
    </row>
    <row r="39" spans="1:35" hidden="1">
      <c r="A39" s="1351"/>
      <c r="B39" s="1354"/>
      <c r="C39" s="24" t="s">
        <v>20</v>
      </c>
      <c r="D39" s="24"/>
      <c r="E39" s="24"/>
      <c r="F39" s="24"/>
      <c r="G39" s="24"/>
      <c r="H39" s="24"/>
      <c r="I39" s="24"/>
      <c r="J39" s="24"/>
      <c r="K39" s="24"/>
      <c r="L39" s="24"/>
      <c r="M39" s="24"/>
      <c r="N39" s="24"/>
      <c r="O39" s="24"/>
      <c r="P39" s="24"/>
      <c r="Q39" s="24"/>
      <c r="R39" s="24"/>
      <c r="S39" s="24"/>
      <c r="T39" s="25"/>
      <c r="U39" s="25"/>
      <c r="V39" s="25"/>
      <c r="W39" s="25"/>
      <c r="X39" s="24"/>
      <c r="Y39" s="27"/>
      <c r="Z39" s="27"/>
      <c r="AA39" s="27"/>
      <c r="AB39" s="49"/>
      <c r="AC39" s="50">
        <v>0</v>
      </c>
      <c r="AD39" s="50"/>
      <c r="AE39" s="50"/>
      <c r="AF39" s="50"/>
      <c r="AG39" s="50"/>
      <c r="AH39" s="50"/>
      <c r="AI39" s="67">
        <f>AC39+AD39+AE39+AF39+AG39</f>
        <v>0</v>
      </c>
    </row>
    <row r="40" spans="1:35" hidden="1">
      <c r="A40" s="1351"/>
      <c r="B40" s="1355" t="s">
        <v>43</v>
      </c>
      <c r="C40" s="37" t="s">
        <v>19</v>
      </c>
      <c r="D40" s="30"/>
      <c r="E40" s="30"/>
      <c r="F40" s="1420">
        <v>1</v>
      </c>
      <c r="G40" s="1421"/>
      <c r="H40" s="1421"/>
      <c r="I40" s="1421"/>
      <c r="J40" s="1421"/>
      <c r="K40" s="1421"/>
      <c r="L40" s="1421"/>
      <c r="M40" s="1421"/>
      <c r="N40" s="1421"/>
      <c r="O40" s="1421"/>
      <c r="P40" s="1421"/>
      <c r="Q40" s="1421"/>
      <c r="R40" s="1421"/>
      <c r="S40" s="1421"/>
      <c r="T40" s="1421"/>
      <c r="U40" s="1421"/>
      <c r="V40" s="1421"/>
      <c r="W40" s="1421"/>
      <c r="X40" s="1421"/>
      <c r="Y40" s="39"/>
      <c r="Z40" s="241"/>
      <c r="AA40" s="42"/>
      <c r="AB40" s="49"/>
      <c r="AC40" s="50">
        <v>0</v>
      </c>
      <c r="AD40" s="50"/>
      <c r="AE40" s="50"/>
      <c r="AF40" s="50"/>
      <c r="AG40" s="50"/>
      <c r="AH40" s="50">
        <f>AC40+AD40+AE40+AF40+AG40</f>
        <v>0</v>
      </c>
      <c r="AI40" s="67"/>
    </row>
    <row r="41" spans="1:35" ht="15.75" hidden="1" thickBot="1">
      <c r="A41" s="1352"/>
      <c r="B41" s="1356"/>
      <c r="C41" s="21" t="s">
        <v>20</v>
      </c>
      <c r="D41" s="21"/>
      <c r="E41" s="21"/>
      <c r="F41" s="21"/>
      <c r="G41" s="21"/>
      <c r="H41" s="21"/>
      <c r="I41" s="21"/>
      <c r="J41" s="21"/>
      <c r="K41" s="21"/>
      <c r="L41" s="21"/>
      <c r="M41" s="21"/>
      <c r="N41" s="21"/>
      <c r="O41" s="21"/>
      <c r="P41" s="21"/>
      <c r="Q41" s="21"/>
      <c r="R41" s="21"/>
      <c r="S41" s="21"/>
      <c r="T41" s="31"/>
      <c r="U41" s="31"/>
      <c r="V41" s="31"/>
      <c r="W41" s="31"/>
      <c r="X41" s="21"/>
      <c r="Y41" s="33"/>
      <c r="Z41" s="33"/>
      <c r="AA41" s="33"/>
      <c r="AB41" s="69"/>
      <c r="AC41" s="70">
        <v>0</v>
      </c>
      <c r="AD41" s="70"/>
      <c r="AE41" s="70"/>
      <c r="AF41" s="70"/>
      <c r="AG41" s="70"/>
      <c r="AH41" s="70"/>
      <c r="AI41" s="71">
        <f>AC41+AD41+AE41+AF41+AG41</f>
        <v>0</v>
      </c>
    </row>
    <row r="42" spans="1:35" ht="15.75" hidden="1" thickBot="1">
      <c r="A42" s="1348" t="s">
        <v>96</v>
      </c>
      <c r="B42" s="1349"/>
      <c r="C42" s="1416"/>
      <c r="D42" s="1417"/>
      <c r="E42" s="1417"/>
      <c r="F42" s="1417"/>
      <c r="G42" s="1417"/>
      <c r="H42" s="1417"/>
      <c r="I42" s="1417"/>
      <c r="J42" s="1417"/>
      <c r="K42" s="1417"/>
      <c r="L42" s="1417"/>
      <c r="M42" s="1417"/>
      <c r="N42" s="1417"/>
      <c r="O42" s="1417"/>
      <c r="P42" s="1417"/>
      <c r="Q42" s="1417"/>
      <c r="R42" s="1417"/>
      <c r="S42" s="1417"/>
      <c r="T42" s="1417"/>
      <c r="U42" s="1417"/>
      <c r="V42" s="1417"/>
      <c r="W42" s="1417"/>
      <c r="X42" s="1417"/>
      <c r="Y42" s="1417"/>
      <c r="Z42" s="1417"/>
      <c r="AA42" s="1417"/>
      <c r="AB42" s="1417"/>
      <c r="AC42" s="1417"/>
      <c r="AD42" s="1417"/>
      <c r="AE42" s="1417"/>
      <c r="AF42" s="1417"/>
      <c r="AG42" s="1418"/>
      <c r="AH42" s="75">
        <f>AH38+AH40</f>
        <v>0</v>
      </c>
      <c r="AI42" s="76">
        <f>AI39+AI41</f>
        <v>0</v>
      </c>
    </row>
    <row r="43" spans="1:35">
      <c r="A43" s="1350" t="s">
        <v>103</v>
      </c>
      <c r="B43" s="1353" t="s">
        <v>103</v>
      </c>
      <c r="C43" s="22" t="s">
        <v>19</v>
      </c>
      <c r="D43" s="22"/>
      <c r="E43" s="22"/>
      <c r="F43" s="22"/>
      <c r="G43" s="22"/>
      <c r="H43" s="22">
        <v>9400</v>
      </c>
      <c r="I43" s="22"/>
      <c r="J43" s="22"/>
      <c r="K43" s="22"/>
      <c r="L43" s="22"/>
      <c r="M43" s="22"/>
      <c r="N43" s="22"/>
      <c r="O43" s="22"/>
      <c r="P43" s="22"/>
      <c r="Q43" s="22"/>
      <c r="R43" s="22"/>
      <c r="S43" s="22"/>
      <c r="T43" s="34"/>
      <c r="U43" s="34"/>
      <c r="V43" s="34"/>
      <c r="W43" s="34"/>
      <c r="X43" s="22"/>
      <c r="Y43" s="23"/>
      <c r="Z43" s="23"/>
      <c r="AA43" s="114"/>
      <c r="AB43" s="64"/>
      <c r="AC43" s="65">
        <f>H43*'Pret unitar apa'!I13</f>
        <v>657895.10128280008</v>
      </c>
      <c r="AD43" s="65"/>
      <c r="AE43" s="65"/>
      <c r="AF43" s="65"/>
      <c r="AG43" s="65"/>
      <c r="AH43" s="65">
        <f>AC43</f>
        <v>657895.10128280008</v>
      </c>
      <c r="AI43" s="66"/>
    </row>
    <row r="44" spans="1:35">
      <c r="A44" s="1351"/>
      <c r="B44" s="1412"/>
      <c r="C44" s="24" t="s">
        <v>20</v>
      </c>
      <c r="D44" s="24"/>
      <c r="E44" s="24"/>
      <c r="F44" s="24"/>
      <c r="G44" s="24"/>
      <c r="H44" s="24">
        <v>30300</v>
      </c>
      <c r="I44" s="24">
        <v>1300</v>
      </c>
      <c r="J44" s="24">
        <v>2100</v>
      </c>
      <c r="K44" s="24">
        <v>5650</v>
      </c>
      <c r="L44" s="24">
        <v>2900</v>
      </c>
      <c r="M44" s="24"/>
      <c r="N44" s="24"/>
      <c r="O44" s="24"/>
      <c r="P44" s="24"/>
      <c r="Q44" s="24"/>
      <c r="R44" s="24"/>
      <c r="S44" s="24"/>
      <c r="T44" s="25"/>
      <c r="U44" s="25"/>
      <c r="V44" s="25"/>
      <c r="W44" s="25"/>
      <c r="X44" s="24"/>
      <c r="Y44" s="27"/>
      <c r="Z44" s="27"/>
      <c r="AA44" s="115"/>
      <c r="AB44" s="49"/>
      <c r="AC44" s="50">
        <f>H44*'Pret unitar apa'!I13+APA!I44*'Pret unitar apa'!I14+APA!J44*'Pret unitar apa'!I15+APA!K44*'Pret unitar apa'!I16+APA!L44*'Pret unitar apa'!I17</f>
        <v>3371706.8669601004</v>
      </c>
      <c r="AD44" s="50"/>
      <c r="AE44" s="50"/>
      <c r="AF44" s="50"/>
      <c r="AG44" s="50"/>
      <c r="AH44" s="49"/>
      <c r="AI44" s="67">
        <f>AC44</f>
        <v>3371706.8669601004</v>
      </c>
    </row>
    <row r="45" spans="1:35" ht="30.75" thickBot="1">
      <c r="A45" s="1352"/>
      <c r="B45" s="1356"/>
      <c r="C45" s="21" t="s">
        <v>104</v>
      </c>
      <c r="D45" s="21"/>
      <c r="E45" s="21"/>
      <c r="F45" s="21"/>
      <c r="G45" s="21"/>
      <c r="H45" s="21"/>
      <c r="I45" s="21"/>
      <c r="J45" s="21"/>
      <c r="K45" s="21"/>
      <c r="L45" s="21"/>
      <c r="M45" s="21">
        <v>3050</v>
      </c>
      <c r="N45" s="21"/>
      <c r="O45" s="21">
        <v>10150</v>
      </c>
      <c r="P45" s="21"/>
      <c r="Q45" s="21">
        <v>10450</v>
      </c>
      <c r="R45" s="21"/>
      <c r="S45" s="21"/>
      <c r="T45" s="31"/>
      <c r="U45" s="31"/>
      <c r="V45" s="31"/>
      <c r="W45" s="31"/>
      <c r="X45" s="21"/>
      <c r="Y45" s="33"/>
      <c r="Z45" s="33"/>
      <c r="AA45" s="116"/>
      <c r="AB45" s="69"/>
      <c r="AC45" s="70">
        <f>M45*'Pret unitar apa'!I18+APA!O45*'Pret unitar apa'!I19+APA!Q45*'Pret unitar apa'!I21</f>
        <v>9477773.008382801</v>
      </c>
      <c r="AD45" s="70"/>
      <c r="AE45" s="70"/>
      <c r="AF45" s="70"/>
      <c r="AG45" s="70"/>
      <c r="AH45" s="69"/>
      <c r="AI45" s="71">
        <f>AC45</f>
        <v>9477773.008382801</v>
      </c>
    </row>
    <row r="46" spans="1:35" ht="15.75" thickBot="1">
      <c r="A46" s="1348" t="s">
        <v>105</v>
      </c>
      <c r="B46" s="1349"/>
      <c r="C46" s="1416"/>
      <c r="D46" s="1417"/>
      <c r="E46" s="1417"/>
      <c r="F46" s="1417"/>
      <c r="G46" s="1417"/>
      <c r="H46" s="1417"/>
      <c r="I46" s="1417"/>
      <c r="J46" s="1417"/>
      <c r="K46" s="1417"/>
      <c r="L46" s="1417"/>
      <c r="M46" s="1417"/>
      <c r="N46" s="1417"/>
      <c r="O46" s="1417"/>
      <c r="P46" s="1417"/>
      <c r="Q46" s="1417"/>
      <c r="R46" s="1417"/>
      <c r="S46" s="1417"/>
      <c r="T46" s="1417"/>
      <c r="U46" s="1417"/>
      <c r="V46" s="1417"/>
      <c r="W46" s="1417"/>
      <c r="X46" s="1417"/>
      <c r="Y46" s="1417"/>
      <c r="Z46" s="1417"/>
      <c r="AA46" s="1417"/>
      <c r="AB46" s="1417"/>
      <c r="AC46" s="1417"/>
      <c r="AD46" s="1417"/>
      <c r="AE46" s="1417"/>
      <c r="AF46" s="1417"/>
      <c r="AG46" s="1418"/>
      <c r="AH46" s="75">
        <f>AH43+AH44+AH45</f>
        <v>657895.10128280008</v>
      </c>
      <c r="AI46" s="76">
        <f>AI43+AI44+AI45</f>
        <v>12849479.875342902</v>
      </c>
    </row>
    <row r="47" spans="1:35">
      <c r="A47" s="1350" t="s">
        <v>151</v>
      </c>
      <c r="B47" s="1365" t="s">
        <v>148</v>
      </c>
      <c r="C47" s="22" t="s">
        <v>19</v>
      </c>
      <c r="D47" s="146"/>
      <c r="E47" s="146"/>
      <c r="F47" s="146"/>
      <c r="G47" s="146"/>
      <c r="H47" s="146"/>
      <c r="I47" s="146"/>
      <c r="J47" s="146"/>
      <c r="K47" s="146"/>
      <c r="L47" s="146"/>
      <c r="M47" s="146"/>
      <c r="N47" s="146"/>
      <c r="O47" s="146"/>
      <c r="P47" s="146"/>
      <c r="Q47" s="146"/>
      <c r="R47" s="146"/>
      <c r="S47" s="146"/>
      <c r="T47" s="146"/>
      <c r="U47" s="146"/>
      <c r="V47" s="146"/>
      <c r="W47" s="146"/>
      <c r="X47" s="147"/>
      <c r="Y47" s="147"/>
      <c r="Z47" s="147"/>
      <c r="AA47" s="147"/>
      <c r="AB47" s="64"/>
      <c r="AC47" s="65"/>
      <c r="AD47" s="65"/>
      <c r="AE47" s="65"/>
      <c r="AF47" s="65"/>
      <c r="AG47" s="65"/>
      <c r="AH47" s="65"/>
      <c r="AI47" s="72"/>
    </row>
    <row r="48" spans="1:35">
      <c r="A48" s="1351"/>
      <c r="B48" s="1372"/>
      <c r="C48" s="24" t="s">
        <v>20</v>
      </c>
      <c r="D48" s="40"/>
      <c r="E48" s="40"/>
      <c r="F48" s="40"/>
      <c r="G48" s="40"/>
      <c r="H48" s="40"/>
      <c r="I48" s="40"/>
      <c r="J48" s="40"/>
      <c r="K48" s="40"/>
      <c r="L48" s="40"/>
      <c r="M48" s="40"/>
      <c r="N48" s="40"/>
      <c r="O48" s="40"/>
      <c r="P48" s="40"/>
      <c r="Q48" s="40"/>
      <c r="R48" s="40"/>
      <c r="S48" s="40"/>
      <c r="T48" s="40"/>
      <c r="U48" s="40"/>
      <c r="V48" s="40"/>
      <c r="W48" s="40"/>
      <c r="X48" s="41"/>
      <c r="Y48" s="41"/>
      <c r="Z48" s="41"/>
      <c r="AA48" s="41"/>
      <c r="AB48" s="49"/>
      <c r="AC48" s="50"/>
      <c r="AD48" s="50"/>
      <c r="AE48" s="50"/>
      <c r="AF48" s="50"/>
      <c r="AG48" s="50"/>
      <c r="AH48" s="50"/>
      <c r="AI48" s="67"/>
    </row>
    <row r="49" spans="1:35">
      <c r="A49" s="1351"/>
      <c r="B49" s="1373" t="s">
        <v>150</v>
      </c>
      <c r="C49" s="294" t="s">
        <v>19</v>
      </c>
      <c r="D49" s="222"/>
      <c r="E49" s="222"/>
      <c r="F49" s="222"/>
      <c r="G49" s="222">
        <v>5300</v>
      </c>
      <c r="H49" s="222"/>
      <c r="I49" s="222"/>
      <c r="J49" s="222"/>
      <c r="K49" s="222"/>
      <c r="L49" s="222"/>
      <c r="M49" s="222"/>
      <c r="N49" s="222"/>
      <c r="O49" s="222"/>
      <c r="P49" s="222"/>
      <c r="Q49" s="222"/>
      <c r="R49" s="222"/>
      <c r="S49" s="222"/>
      <c r="T49" s="222"/>
      <c r="U49" s="222"/>
      <c r="V49" s="222"/>
      <c r="W49" s="222"/>
      <c r="X49" s="30"/>
      <c r="Y49" s="30"/>
      <c r="Z49" s="30"/>
      <c r="AA49" s="30"/>
      <c r="AB49" s="49"/>
      <c r="AC49" s="50"/>
      <c r="AD49" s="50"/>
      <c r="AE49" s="50"/>
      <c r="AF49" s="50"/>
      <c r="AG49" s="50"/>
      <c r="AH49" s="144">
        <v>350000</v>
      </c>
      <c r="AI49" s="67"/>
    </row>
    <row r="50" spans="1:35" ht="15.75" thickBot="1">
      <c r="A50" s="1351"/>
      <c r="B50" s="1372"/>
      <c r="C50" s="21" t="s">
        <v>20</v>
      </c>
      <c r="D50" s="40"/>
      <c r="E50" s="40"/>
      <c r="F50" s="40"/>
      <c r="G50" s="40"/>
      <c r="H50" s="40"/>
      <c r="I50" s="40"/>
      <c r="J50" s="40"/>
      <c r="K50" s="40"/>
      <c r="L50" s="40"/>
      <c r="M50" s="40"/>
      <c r="N50" s="40"/>
      <c r="O50" s="40"/>
      <c r="P50" s="40"/>
      <c r="Q50" s="40"/>
      <c r="R50" s="40"/>
      <c r="S50" s="40"/>
      <c r="T50" s="40"/>
      <c r="U50" s="40"/>
      <c r="V50" s="40"/>
      <c r="W50" s="40"/>
      <c r="X50" s="41"/>
      <c r="Y50" s="41"/>
      <c r="Z50" s="41"/>
      <c r="AA50" s="41"/>
      <c r="AB50" s="49"/>
      <c r="AC50" s="50"/>
      <c r="AD50" s="50"/>
      <c r="AE50" s="50"/>
      <c r="AF50" s="50"/>
      <c r="AG50" s="50"/>
      <c r="AH50" s="50"/>
      <c r="AI50" s="67"/>
    </row>
    <row r="51" spans="1:35">
      <c r="A51" s="1351"/>
      <c r="B51" s="1373" t="s">
        <v>149</v>
      </c>
      <c r="C51" s="123" t="s">
        <v>19</v>
      </c>
      <c r="D51" s="40"/>
      <c r="E51" s="40"/>
      <c r="F51" s="40"/>
      <c r="G51" s="40"/>
      <c r="H51" s="40"/>
      <c r="I51" s="40"/>
      <c r="J51" s="40"/>
      <c r="K51" s="40"/>
      <c r="L51" s="40"/>
      <c r="M51" s="40"/>
      <c r="N51" s="40"/>
      <c r="O51" s="40"/>
      <c r="P51" s="40"/>
      <c r="Q51" s="40"/>
      <c r="R51" s="40"/>
      <c r="S51" s="40"/>
      <c r="T51" s="40"/>
      <c r="U51" s="40"/>
      <c r="V51" s="40"/>
      <c r="W51" s="40"/>
      <c r="X51" s="41"/>
      <c r="Y51" s="41"/>
      <c r="Z51" s="41"/>
      <c r="AA51" s="41"/>
      <c r="AB51" s="49"/>
      <c r="AC51" s="50"/>
      <c r="AD51" s="50"/>
      <c r="AE51" s="50"/>
      <c r="AF51" s="50"/>
      <c r="AG51" s="50"/>
      <c r="AH51" s="50"/>
      <c r="AI51" s="67"/>
    </row>
    <row r="52" spans="1:35" ht="15.75" thickBot="1">
      <c r="A52" s="1352"/>
      <c r="B52" s="1366"/>
      <c r="C52" s="21" t="s">
        <v>20</v>
      </c>
      <c r="D52" s="148"/>
      <c r="E52" s="148"/>
      <c r="F52" s="148"/>
      <c r="G52" s="148"/>
      <c r="H52" s="148"/>
      <c r="I52" s="148"/>
      <c r="J52" s="148"/>
      <c r="K52" s="148"/>
      <c r="L52" s="148"/>
      <c r="M52" s="148"/>
      <c r="N52" s="148"/>
      <c r="O52" s="148"/>
      <c r="P52" s="148"/>
      <c r="Q52" s="148"/>
      <c r="R52" s="148"/>
      <c r="S52" s="148"/>
      <c r="T52" s="148"/>
      <c r="U52" s="148"/>
      <c r="V52" s="148"/>
      <c r="W52" s="148"/>
      <c r="X52" s="149"/>
      <c r="Y52" s="149"/>
      <c r="Z52" s="149"/>
      <c r="AA52" s="149"/>
      <c r="AB52" s="69"/>
      <c r="AC52" s="70"/>
      <c r="AD52" s="70"/>
      <c r="AE52" s="70"/>
      <c r="AF52" s="70"/>
      <c r="AG52" s="70"/>
      <c r="AH52" s="70"/>
      <c r="AI52" s="71"/>
    </row>
    <row r="53" spans="1:35" ht="15.75" thickBot="1">
      <c r="A53" s="1348" t="s">
        <v>157</v>
      </c>
      <c r="B53" s="1349"/>
      <c r="C53" s="1416"/>
      <c r="D53" s="1417"/>
      <c r="E53" s="1417"/>
      <c r="F53" s="1417"/>
      <c r="G53" s="1417"/>
      <c r="H53" s="1417"/>
      <c r="I53" s="1417"/>
      <c r="J53" s="1417"/>
      <c r="K53" s="1417"/>
      <c r="L53" s="1417"/>
      <c r="M53" s="1417"/>
      <c r="N53" s="1417"/>
      <c r="O53" s="1417"/>
      <c r="P53" s="1417"/>
      <c r="Q53" s="1417"/>
      <c r="R53" s="1417"/>
      <c r="S53" s="1417"/>
      <c r="T53" s="1417"/>
      <c r="U53" s="1417"/>
      <c r="V53" s="1417"/>
      <c r="W53" s="1417"/>
      <c r="X53" s="1417"/>
      <c r="Y53" s="1417"/>
      <c r="Z53" s="1417"/>
      <c r="AA53" s="1417"/>
      <c r="AB53" s="1417"/>
      <c r="AC53" s="1417"/>
      <c r="AD53" s="1417"/>
      <c r="AE53" s="1417"/>
      <c r="AF53" s="1417"/>
      <c r="AG53" s="1418"/>
      <c r="AH53" s="75">
        <f>AH47+AH49+AH51</f>
        <v>350000</v>
      </c>
      <c r="AI53" s="76">
        <f>AI48+AI50+AI52</f>
        <v>0</v>
      </c>
    </row>
    <row r="54" spans="1:35">
      <c r="A54" s="1357" t="s">
        <v>152</v>
      </c>
      <c r="B54" s="1360" t="s">
        <v>147</v>
      </c>
      <c r="C54" s="22" t="s">
        <v>19</v>
      </c>
      <c r="D54" s="217"/>
      <c r="E54" s="217"/>
      <c r="F54" s="217"/>
      <c r="G54" s="218">
        <v>6650</v>
      </c>
      <c r="H54" s="218">
        <v>3350</v>
      </c>
      <c r="I54" s="217"/>
      <c r="J54" s="217"/>
      <c r="K54" s="217"/>
      <c r="L54" s="217"/>
      <c r="M54" s="217"/>
      <c r="N54" s="217"/>
      <c r="O54" s="217"/>
      <c r="P54" s="217"/>
      <c r="Q54" s="217"/>
      <c r="R54" s="217"/>
      <c r="S54" s="217"/>
      <c r="T54" s="217"/>
      <c r="U54" s="217"/>
      <c r="V54" s="217"/>
      <c r="W54" s="217"/>
      <c r="X54" s="22"/>
      <c r="Y54" s="218">
        <v>1</v>
      </c>
      <c r="Z54" s="218">
        <v>4</v>
      </c>
      <c r="AA54" s="218" t="s">
        <v>213</v>
      </c>
      <c r="AB54" s="219"/>
      <c r="AC54" s="220"/>
      <c r="AD54" s="220"/>
      <c r="AE54" s="220"/>
      <c r="AF54" s="220"/>
      <c r="AG54" s="220"/>
      <c r="AH54" s="220"/>
      <c r="AI54" s="221"/>
    </row>
    <row r="55" spans="1:35">
      <c r="A55" s="1358"/>
      <c r="B55" s="1387"/>
      <c r="C55" s="24" t="s">
        <v>20</v>
      </c>
      <c r="D55" s="228"/>
      <c r="E55" s="228"/>
      <c r="F55" s="228"/>
      <c r="G55" s="229"/>
      <c r="H55" s="229"/>
      <c r="I55" s="228"/>
      <c r="J55" s="228"/>
      <c r="K55" s="228"/>
      <c r="L55" s="228"/>
      <c r="M55" s="228"/>
      <c r="N55" s="228"/>
      <c r="O55" s="228"/>
      <c r="P55" s="228"/>
      <c r="Q55" s="228"/>
      <c r="R55" s="228"/>
      <c r="S55" s="228"/>
      <c r="T55" s="228"/>
      <c r="U55" s="228"/>
      <c r="V55" s="228"/>
      <c r="W55" s="228"/>
      <c r="X55" s="24"/>
      <c r="Y55" s="24"/>
      <c r="Z55" s="24"/>
      <c r="AA55" s="24"/>
      <c r="AB55" s="230"/>
      <c r="AC55" s="231"/>
      <c r="AD55" s="231"/>
      <c r="AE55" s="231"/>
      <c r="AF55" s="231"/>
      <c r="AG55" s="231"/>
      <c r="AH55" s="231"/>
      <c r="AI55" s="232"/>
    </row>
    <row r="56" spans="1:35">
      <c r="A56" s="1358"/>
      <c r="B56" s="1387" t="s">
        <v>156</v>
      </c>
      <c r="C56" s="210" t="s">
        <v>19</v>
      </c>
      <c r="D56" s="222"/>
      <c r="E56" s="222"/>
      <c r="F56" s="222"/>
      <c r="G56" s="211">
        <v>4100</v>
      </c>
      <c r="H56" s="211">
        <v>1850</v>
      </c>
      <c r="I56" s="222"/>
      <c r="J56" s="222"/>
      <c r="K56" s="222"/>
      <c r="L56" s="222"/>
      <c r="M56" s="222"/>
      <c r="N56" s="222"/>
      <c r="O56" s="222"/>
      <c r="P56" s="222"/>
      <c r="Q56" s="222"/>
      <c r="R56" s="222"/>
      <c r="S56" s="222"/>
      <c r="T56" s="222"/>
      <c r="U56" s="222"/>
      <c r="V56" s="222"/>
      <c r="W56" s="222"/>
      <c r="X56" s="210"/>
      <c r="Y56" s="210"/>
      <c r="Z56" s="210"/>
      <c r="AA56" s="210"/>
      <c r="AB56" s="223"/>
      <c r="AC56" s="224"/>
      <c r="AD56" s="224"/>
      <c r="AE56" s="224"/>
      <c r="AF56" s="224"/>
      <c r="AG56" s="224"/>
      <c r="AH56" s="224"/>
      <c r="AI56" s="225"/>
    </row>
    <row r="57" spans="1:35" ht="15.75" thickBot="1">
      <c r="A57" s="1358"/>
      <c r="B57" s="1373"/>
      <c r="C57" s="21" t="s">
        <v>20</v>
      </c>
      <c r="D57" s="228"/>
      <c r="E57" s="228"/>
      <c r="F57" s="228"/>
      <c r="G57" s="229"/>
      <c r="H57" s="229"/>
      <c r="I57" s="228"/>
      <c r="J57" s="228"/>
      <c r="K57" s="228"/>
      <c r="L57" s="228"/>
      <c r="M57" s="228"/>
      <c r="N57" s="228"/>
      <c r="O57" s="228"/>
      <c r="P57" s="228"/>
      <c r="Q57" s="228"/>
      <c r="R57" s="228"/>
      <c r="S57" s="228"/>
      <c r="T57" s="228"/>
      <c r="U57" s="228"/>
      <c r="V57" s="228"/>
      <c r="W57" s="228"/>
      <c r="X57" s="24"/>
      <c r="Y57" s="24"/>
      <c r="Z57" s="24"/>
      <c r="AA57" s="24"/>
      <c r="AB57" s="230"/>
      <c r="AC57" s="231"/>
      <c r="AD57" s="231"/>
      <c r="AE57" s="231"/>
      <c r="AF57" s="231"/>
      <c r="AG57" s="231"/>
      <c r="AH57" s="231"/>
      <c r="AI57" s="232"/>
    </row>
    <row r="58" spans="1:35">
      <c r="A58" s="1358"/>
      <c r="B58" s="1412" t="s">
        <v>154</v>
      </c>
      <c r="C58" s="22" t="s">
        <v>19</v>
      </c>
      <c r="D58" s="223"/>
      <c r="E58" s="223"/>
      <c r="F58" s="223"/>
      <c r="G58" s="226">
        <v>650</v>
      </c>
      <c r="H58" s="226"/>
      <c r="I58" s="223"/>
      <c r="J58" s="223"/>
      <c r="K58" s="223"/>
      <c r="L58" s="223"/>
      <c r="M58" s="223"/>
      <c r="N58" s="223"/>
      <c r="O58" s="223"/>
      <c r="P58" s="223"/>
      <c r="Q58" s="223"/>
      <c r="R58" s="223"/>
      <c r="S58" s="223"/>
      <c r="T58" s="223"/>
      <c r="U58" s="223"/>
      <c r="V58" s="223"/>
      <c r="W58" s="223"/>
      <c r="X58" s="227"/>
      <c r="Y58" s="242">
        <v>1</v>
      </c>
      <c r="Z58" s="242">
        <v>2</v>
      </c>
      <c r="AA58" s="223"/>
      <c r="AB58" s="223"/>
      <c r="AC58" s="223"/>
      <c r="AD58" s="223"/>
      <c r="AE58" s="223"/>
      <c r="AF58" s="223"/>
      <c r="AG58" s="223"/>
      <c r="AH58" s="224"/>
      <c r="AI58" s="225"/>
    </row>
    <row r="59" spans="1:35">
      <c r="A59" s="1358"/>
      <c r="B59" s="1354"/>
      <c r="C59" s="24" t="s">
        <v>20</v>
      </c>
      <c r="D59" s="230"/>
      <c r="E59" s="230"/>
      <c r="F59" s="230"/>
      <c r="G59" s="233"/>
      <c r="H59" s="233"/>
      <c r="I59" s="230"/>
      <c r="J59" s="230"/>
      <c r="K59" s="230"/>
      <c r="L59" s="230"/>
      <c r="M59" s="230"/>
      <c r="N59" s="230"/>
      <c r="O59" s="230"/>
      <c r="P59" s="230"/>
      <c r="Q59" s="230"/>
      <c r="R59" s="230"/>
      <c r="S59" s="230"/>
      <c r="T59" s="230"/>
      <c r="U59" s="230"/>
      <c r="V59" s="230"/>
      <c r="W59" s="230"/>
      <c r="X59" s="234"/>
      <c r="Y59" s="234"/>
      <c r="Z59" s="234"/>
      <c r="AA59" s="230"/>
      <c r="AB59" s="230"/>
      <c r="AC59" s="230"/>
      <c r="AD59" s="230"/>
      <c r="AE59" s="230"/>
      <c r="AF59" s="230"/>
      <c r="AG59" s="230"/>
      <c r="AH59" s="231"/>
      <c r="AI59" s="232"/>
    </row>
    <row r="60" spans="1:35">
      <c r="A60" s="1358"/>
      <c r="B60" s="1387" t="s">
        <v>155</v>
      </c>
      <c r="C60" s="210" t="s">
        <v>19</v>
      </c>
      <c r="D60" s="223"/>
      <c r="E60" s="223"/>
      <c r="F60" s="223"/>
      <c r="G60" s="226">
        <v>8900</v>
      </c>
      <c r="H60" s="226">
        <v>850</v>
      </c>
      <c r="I60" s="223"/>
      <c r="J60" s="223"/>
      <c r="K60" s="223"/>
      <c r="L60" s="223"/>
      <c r="M60" s="223"/>
      <c r="N60" s="223"/>
      <c r="O60" s="223"/>
      <c r="P60" s="223"/>
      <c r="Q60" s="223"/>
      <c r="R60" s="223"/>
      <c r="S60" s="223"/>
      <c r="T60" s="223"/>
      <c r="U60" s="223"/>
      <c r="V60" s="223"/>
      <c r="W60" s="223"/>
      <c r="X60" s="227"/>
      <c r="Y60" s="242">
        <v>1</v>
      </c>
      <c r="Z60" s="242">
        <v>3</v>
      </c>
      <c r="AA60" s="223"/>
      <c r="AB60" s="223"/>
      <c r="AC60" s="223"/>
      <c r="AD60" s="223"/>
      <c r="AE60" s="223"/>
      <c r="AF60" s="223"/>
      <c r="AG60" s="223"/>
      <c r="AH60" s="224"/>
      <c r="AI60" s="225"/>
    </row>
    <row r="61" spans="1:35" ht="15.75" thickBot="1">
      <c r="A61" s="1415"/>
      <c r="B61" s="1387"/>
      <c r="C61" s="150" t="s">
        <v>20</v>
      </c>
      <c r="D61" s="235"/>
      <c r="E61" s="235"/>
      <c r="F61" s="235"/>
      <c r="G61" s="235"/>
      <c r="H61" s="235"/>
      <c r="I61" s="235"/>
      <c r="J61" s="235"/>
      <c r="K61" s="235"/>
      <c r="L61" s="235"/>
      <c r="M61" s="235"/>
      <c r="N61" s="235"/>
      <c r="O61" s="235"/>
      <c r="P61" s="235"/>
      <c r="Q61" s="235"/>
      <c r="R61" s="235"/>
      <c r="S61" s="235"/>
      <c r="T61" s="235"/>
      <c r="U61" s="235"/>
      <c r="V61" s="235"/>
      <c r="W61" s="235"/>
      <c r="X61" s="236"/>
      <c r="Y61" s="236"/>
      <c r="Z61" s="236"/>
      <c r="AA61" s="235"/>
      <c r="AB61" s="235"/>
      <c r="AC61" s="235"/>
      <c r="AD61" s="235"/>
      <c r="AE61" s="235"/>
      <c r="AF61" s="235"/>
      <c r="AG61" s="235"/>
      <c r="AH61" s="237"/>
      <c r="AI61" s="238"/>
    </row>
    <row r="62" spans="1:35" ht="15.75" thickBot="1">
      <c r="A62" s="1413" t="s">
        <v>158</v>
      </c>
      <c r="B62" s="1414"/>
      <c r="C62" s="239"/>
      <c r="D62" s="239"/>
      <c r="E62" s="239"/>
      <c r="F62" s="239"/>
      <c r="G62" s="239"/>
      <c r="H62" s="239"/>
      <c r="I62" s="239"/>
      <c r="J62" s="239"/>
      <c r="K62" s="239"/>
      <c r="L62" s="239"/>
      <c r="M62" s="239"/>
      <c r="N62" s="239"/>
      <c r="O62" s="239"/>
      <c r="P62" s="239"/>
      <c r="Q62" s="239"/>
      <c r="R62" s="239"/>
      <c r="S62" s="239"/>
      <c r="T62" s="239"/>
      <c r="U62" s="239"/>
      <c r="V62" s="239"/>
      <c r="W62" s="239"/>
      <c r="X62" s="239"/>
      <c r="Y62" s="239"/>
      <c r="Z62" s="239"/>
      <c r="AA62" s="239"/>
      <c r="AB62" s="239"/>
      <c r="AC62" s="239"/>
      <c r="AD62" s="239"/>
      <c r="AE62" s="239"/>
      <c r="AF62" s="239"/>
      <c r="AG62" s="240"/>
      <c r="AH62" s="160"/>
      <c r="AI62" s="161"/>
    </row>
    <row r="63" spans="1:35">
      <c r="A63" s="1380" t="s">
        <v>165</v>
      </c>
      <c r="B63" s="1386" t="s">
        <v>165</v>
      </c>
      <c r="C63" s="22" t="s">
        <v>19</v>
      </c>
      <c r="D63" s="64"/>
      <c r="E63" s="64"/>
      <c r="F63" s="64"/>
      <c r="G63" s="64"/>
      <c r="H63" s="64"/>
      <c r="I63" s="64"/>
      <c r="J63" s="64"/>
      <c r="K63" s="64"/>
      <c r="L63" s="64"/>
      <c r="M63" s="64"/>
      <c r="N63" s="64"/>
      <c r="O63" s="64"/>
      <c r="P63" s="64"/>
      <c r="Q63" s="64"/>
      <c r="R63" s="64"/>
      <c r="S63" s="64"/>
      <c r="T63" s="64"/>
      <c r="U63" s="64"/>
      <c r="V63" s="64"/>
      <c r="W63" s="64"/>
      <c r="X63" s="135"/>
      <c r="Y63" s="135"/>
      <c r="Z63" s="206"/>
      <c r="AA63" s="64"/>
      <c r="AB63" s="64"/>
      <c r="AC63" s="64"/>
      <c r="AD63" s="64"/>
      <c r="AE63" s="64"/>
      <c r="AF63" s="64"/>
      <c r="AG63" s="64"/>
      <c r="AH63" s="64"/>
      <c r="AI63" s="66"/>
    </row>
    <row r="64" spans="1:35">
      <c r="A64" s="1381"/>
      <c r="B64" s="1387"/>
      <c r="C64" s="24" t="s">
        <v>20</v>
      </c>
      <c r="D64" s="49"/>
      <c r="E64" s="49"/>
      <c r="F64" s="49"/>
      <c r="G64" s="49"/>
      <c r="H64" s="49"/>
      <c r="I64" s="49"/>
      <c r="J64" s="49"/>
      <c r="K64" s="49"/>
      <c r="L64" s="49"/>
      <c r="M64" s="49"/>
      <c r="N64" s="49"/>
      <c r="O64" s="49"/>
      <c r="P64" s="49"/>
      <c r="Q64" s="49"/>
      <c r="R64" s="49"/>
      <c r="S64" s="49"/>
      <c r="T64" s="49"/>
      <c r="U64" s="49"/>
      <c r="V64" s="49"/>
      <c r="W64" s="49"/>
      <c r="X64" s="136"/>
      <c r="Y64" s="136"/>
      <c r="Z64" s="207"/>
      <c r="AA64" s="49"/>
      <c r="AB64" s="49"/>
      <c r="AC64" s="49"/>
      <c r="AD64" s="49"/>
      <c r="AE64" s="49"/>
      <c r="AF64" s="49"/>
      <c r="AG64" s="49"/>
      <c r="AH64" s="49"/>
      <c r="AI64" s="110"/>
    </row>
    <row r="65" spans="1:35">
      <c r="A65" s="1381"/>
      <c r="B65" s="1387" t="s">
        <v>166</v>
      </c>
      <c r="C65" s="138" t="s">
        <v>19</v>
      </c>
      <c r="D65" s="49"/>
      <c r="E65" s="49"/>
      <c r="F65" s="49"/>
      <c r="G65" s="49"/>
      <c r="H65" s="49"/>
      <c r="I65" s="49"/>
      <c r="J65" s="49"/>
      <c r="K65" s="49"/>
      <c r="L65" s="49"/>
      <c r="M65" s="49"/>
      <c r="N65" s="49"/>
      <c r="O65" s="49"/>
      <c r="P65" s="49"/>
      <c r="Q65" s="49"/>
      <c r="R65" s="49"/>
      <c r="S65" s="49"/>
      <c r="T65" s="49"/>
      <c r="U65" s="49"/>
      <c r="V65" s="49"/>
      <c r="W65" s="49"/>
      <c r="X65" s="136"/>
      <c r="Y65" s="136"/>
      <c r="Z65" s="207"/>
      <c r="AA65" s="49"/>
      <c r="AB65" s="49"/>
      <c r="AC65" s="49"/>
      <c r="AD65" s="49"/>
      <c r="AE65" s="49"/>
      <c r="AF65" s="49"/>
      <c r="AG65" s="49"/>
      <c r="AH65" s="49"/>
      <c r="AI65" s="110"/>
    </row>
    <row r="66" spans="1:35">
      <c r="A66" s="1381"/>
      <c r="B66" s="1387"/>
      <c r="C66" s="24" t="s">
        <v>20</v>
      </c>
      <c r="D66" s="49"/>
      <c r="E66" s="49"/>
      <c r="F66" s="49"/>
      <c r="G66" s="49"/>
      <c r="H66" s="49"/>
      <c r="I66" s="49"/>
      <c r="J66" s="49"/>
      <c r="K66" s="49"/>
      <c r="L66" s="49"/>
      <c r="M66" s="49"/>
      <c r="N66" s="49"/>
      <c r="O66" s="49"/>
      <c r="P66" s="49"/>
      <c r="Q66" s="49"/>
      <c r="R66" s="49"/>
      <c r="S66" s="49"/>
      <c r="T66" s="49"/>
      <c r="U66" s="49"/>
      <c r="V66" s="49"/>
      <c r="W66" s="49"/>
      <c r="X66" s="136"/>
      <c r="Y66" s="136"/>
      <c r="Z66" s="207"/>
      <c r="AA66" s="49"/>
      <c r="AB66" s="49"/>
      <c r="AC66" s="49"/>
      <c r="AD66" s="49"/>
      <c r="AE66" s="49"/>
      <c r="AF66" s="49"/>
      <c r="AG66" s="49"/>
      <c r="AH66" s="49"/>
      <c r="AI66" s="110"/>
    </row>
    <row r="67" spans="1:35">
      <c r="A67" s="1381"/>
      <c r="B67" s="1387" t="s">
        <v>167</v>
      </c>
      <c r="C67" s="138" t="s">
        <v>19</v>
      </c>
      <c r="D67" s="49"/>
      <c r="E67" s="49"/>
      <c r="F67" s="49"/>
      <c r="G67" s="49"/>
      <c r="H67" s="49"/>
      <c r="I67" s="49"/>
      <c r="J67" s="49"/>
      <c r="K67" s="49"/>
      <c r="L67" s="49"/>
      <c r="M67" s="49"/>
      <c r="N67" s="49"/>
      <c r="O67" s="49"/>
      <c r="P67" s="49"/>
      <c r="Q67" s="49"/>
      <c r="R67" s="49"/>
      <c r="S67" s="49"/>
      <c r="T67" s="49"/>
      <c r="U67" s="49"/>
      <c r="V67" s="49"/>
      <c r="W67" s="49"/>
      <c r="X67" s="136"/>
      <c r="Y67" s="136"/>
      <c r="Z67" s="207"/>
      <c r="AA67" s="49"/>
      <c r="AB67" s="49"/>
      <c r="AC67" s="49"/>
      <c r="AD67" s="49"/>
      <c r="AE67" s="49"/>
      <c r="AF67" s="49"/>
      <c r="AG67" s="49"/>
      <c r="AH67" s="49"/>
      <c r="AI67" s="110"/>
    </row>
    <row r="68" spans="1:35">
      <c r="A68" s="1381"/>
      <c r="B68" s="1387"/>
      <c r="C68" s="24" t="s">
        <v>20</v>
      </c>
      <c r="D68" s="49"/>
      <c r="E68" s="49"/>
      <c r="F68" s="49"/>
      <c r="G68" s="49"/>
      <c r="H68" s="49"/>
      <c r="I68" s="49"/>
      <c r="J68" s="49"/>
      <c r="K68" s="49"/>
      <c r="L68" s="49"/>
      <c r="M68" s="49"/>
      <c r="N68" s="49"/>
      <c r="O68" s="49"/>
      <c r="P68" s="49"/>
      <c r="Q68" s="49"/>
      <c r="R68" s="49"/>
      <c r="S68" s="49"/>
      <c r="T68" s="49"/>
      <c r="U68" s="49"/>
      <c r="V68" s="49"/>
      <c r="W68" s="49"/>
      <c r="X68" s="136"/>
      <c r="Y68" s="136"/>
      <c r="Z68" s="207"/>
      <c r="AA68" s="49"/>
      <c r="AB68" s="49"/>
      <c r="AC68" s="49"/>
      <c r="AD68" s="49"/>
      <c r="AE68" s="49"/>
      <c r="AF68" s="49"/>
      <c r="AG68" s="49"/>
      <c r="AH68" s="49"/>
      <c r="AI68" s="110"/>
    </row>
    <row r="69" spans="1:35">
      <c r="A69" s="1381"/>
      <c r="B69" s="1387" t="s">
        <v>168</v>
      </c>
      <c r="C69" s="138" t="s">
        <v>19</v>
      </c>
      <c r="D69" s="49"/>
      <c r="E69" s="49"/>
      <c r="F69" s="49"/>
      <c r="G69" s="49"/>
      <c r="H69" s="49"/>
      <c r="I69" s="49"/>
      <c r="J69" s="49"/>
      <c r="K69" s="49"/>
      <c r="L69" s="49"/>
      <c r="M69" s="49"/>
      <c r="N69" s="49"/>
      <c r="O69" s="49"/>
      <c r="P69" s="49"/>
      <c r="Q69" s="49"/>
      <c r="R69" s="49"/>
      <c r="S69" s="49"/>
      <c r="T69" s="49"/>
      <c r="U69" s="49"/>
      <c r="V69" s="49"/>
      <c r="W69" s="49"/>
      <c r="X69" s="136"/>
      <c r="Y69" s="136"/>
      <c r="Z69" s="207"/>
      <c r="AA69" s="49"/>
      <c r="AB69" s="49"/>
      <c r="AC69" s="49"/>
      <c r="AD69" s="49"/>
      <c r="AE69" s="49"/>
      <c r="AF69" s="49"/>
      <c r="AG69" s="49"/>
      <c r="AH69" s="49"/>
      <c r="AI69" s="110"/>
    </row>
    <row r="70" spans="1:35" ht="15.75" thickBot="1">
      <c r="A70" s="1382"/>
      <c r="B70" s="1388"/>
      <c r="C70" s="21" t="s">
        <v>20</v>
      </c>
      <c r="D70" s="69"/>
      <c r="E70" s="69"/>
      <c r="F70" s="69"/>
      <c r="G70" s="69"/>
      <c r="H70" s="69"/>
      <c r="I70" s="69"/>
      <c r="J70" s="69"/>
      <c r="K70" s="69"/>
      <c r="L70" s="69"/>
      <c r="M70" s="69"/>
      <c r="N70" s="69"/>
      <c r="O70" s="69"/>
      <c r="P70" s="69"/>
      <c r="Q70" s="69"/>
      <c r="R70" s="69"/>
      <c r="S70" s="69"/>
      <c r="T70" s="69"/>
      <c r="U70" s="69"/>
      <c r="V70" s="69"/>
      <c r="W70" s="69"/>
      <c r="X70" s="137"/>
      <c r="Y70" s="137"/>
      <c r="Z70" s="208"/>
      <c r="AA70" s="69"/>
      <c r="AB70" s="69"/>
      <c r="AC70" s="69"/>
      <c r="AD70" s="69"/>
      <c r="AE70" s="69"/>
      <c r="AF70" s="69"/>
      <c r="AG70" s="69"/>
      <c r="AH70" s="69"/>
      <c r="AI70" s="111"/>
    </row>
    <row r="71" spans="1:35" ht="15.75" thickBot="1">
      <c r="A71" s="1378" t="s">
        <v>177</v>
      </c>
      <c r="B71" s="1379"/>
      <c r="C71" s="162"/>
      <c r="D71" s="159"/>
      <c r="E71" s="159"/>
      <c r="F71" s="159"/>
      <c r="G71" s="159"/>
      <c r="H71" s="159"/>
      <c r="I71" s="159"/>
      <c r="J71" s="159"/>
      <c r="K71" s="159"/>
      <c r="L71" s="159"/>
      <c r="M71" s="159"/>
      <c r="N71" s="159"/>
      <c r="O71" s="159"/>
      <c r="P71" s="159"/>
      <c r="Q71" s="159"/>
      <c r="R71" s="159"/>
      <c r="S71" s="159"/>
      <c r="T71" s="159"/>
      <c r="U71" s="159"/>
      <c r="V71" s="159"/>
      <c r="W71" s="159"/>
      <c r="X71" s="139"/>
      <c r="Y71" s="139"/>
      <c r="Z71" s="209"/>
      <c r="AA71" s="159"/>
      <c r="AB71" s="159"/>
      <c r="AC71" s="159"/>
      <c r="AD71" s="159"/>
      <c r="AE71" s="159"/>
      <c r="AF71" s="159"/>
      <c r="AG71" s="159"/>
      <c r="AH71" s="159"/>
      <c r="AI71" s="159"/>
    </row>
    <row r="72" spans="1:35">
      <c r="A72" s="1380" t="s">
        <v>169</v>
      </c>
      <c r="B72" s="1385" t="s">
        <v>169</v>
      </c>
      <c r="C72" s="22" t="s">
        <v>19</v>
      </c>
      <c r="D72" s="64"/>
      <c r="E72" s="64"/>
      <c r="F72" s="64"/>
      <c r="G72" s="64"/>
      <c r="H72" s="64"/>
      <c r="I72" s="64"/>
      <c r="J72" s="64"/>
      <c r="K72" s="64"/>
      <c r="L72" s="64"/>
      <c r="M72" s="64"/>
      <c r="N72" s="64"/>
      <c r="O72" s="64"/>
      <c r="P72" s="64"/>
      <c r="Q72" s="64"/>
      <c r="R72" s="64"/>
      <c r="S72" s="64"/>
      <c r="T72" s="64"/>
      <c r="U72" s="64"/>
      <c r="V72" s="64"/>
      <c r="W72" s="64"/>
      <c r="X72" s="135"/>
      <c r="Y72" s="135"/>
      <c r="Z72" s="206"/>
      <c r="AA72" s="64"/>
      <c r="AB72" s="64"/>
      <c r="AC72" s="64"/>
      <c r="AD72" s="64"/>
      <c r="AE72" s="64"/>
      <c r="AF72" s="64"/>
      <c r="AG72" s="64"/>
      <c r="AH72" s="64"/>
      <c r="AI72" s="66"/>
    </row>
    <row r="73" spans="1:35">
      <c r="A73" s="1381"/>
      <c r="B73" s="1383"/>
      <c r="C73" s="24" t="s">
        <v>20</v>
      </c>
      <c r="D73" s="49"/>
      <c r="E73" s="49"/>
      <c r="F73" s="49"/>
      <c r="G73" s="49"/>
      <c r="H73" s="49"/>
      <c r="I73" s="49"/>
      <c r="J73" s="49"/>
      <c r="K73" s="49"/>
      <c r="L73" s="49"/>
      <c r="M73" s="49"/>
      <c r="N73" s="49"/>
      <c r="O73" s="49"/>
      <c r="P73" s="49"/>
      <c r="Q73" s="49"/>
      <c r="R73" s="49"/>
      <c r="S73" s="49"/>
      <c r="T73" s="49"/>
      <c r="U73" s="49"/>
      <c r="V73" s="49"/>
      <c r="W73" s="49"/>
      <c r="X73" s="136"/>
      <c r="Y73" s="136"/>
      <c r="Z73" s="207"/>
      <c r="AA73" s="49"/>
      <c r="AB73" s="49"/>
      <c r="AC73" s="49"/>
      <c r="AD73" s="49"/>
      <c r="AE73" s="49"/>
      <c r="AF73" s="49"/>
      <c r="AG73" s="49"/>
      <c r="AH73" s="49"/>
      <c r="AI73" s="110"/>
    </row>
    <row r="74" spans="1:35">
      <c r="A74" s="1381"/>
      <c r="B74" s="1383" t="s">
        <v>170</v>
      </c>
      <c r="C74" s="138" t="s">
        <v>19</v>
      </c>
      <c r="D74" s="49"/>
      <c r="E74" s="49"/>
      <c r="F74" s="49"/>
      <c r="G74" s="49"/>
      <c r="H74" s="49"/>
      <c r="I74" s="49"/>
      <c r="J74" s="49"/>
      <c r="K74" s="49"/>
      <c r="L74" s="49"/>
      <c r="M74" s="49"/>
      <c r="N74" s="49"/>
      <c r="O74" s="49"/>
      <c r="P74" s="49"/>
      <c r="Q74" s="49"/>
      <c r="R74" s="49"/>
      <c r="S74" s="49"/>
      <c r="T74" s="49"/>
      <c r="U74" s="49"/>
      <c r="V74" s="49"/>
      <c r="W74" s="49"/>
      <c r="X74" s="136"/>
      <c r="Y74" s="136"/>
      <c r="Z74" s="207"/>
      <c r="AA74" s="49"/>
      <c r="AB74" s="49"/>
      <c r="AC74" s="49"/>
      <c r="AD74" s="49"/>
      <c r="AE74" s="49"/>
      <c r="AF74" s="49"/>
      <c r="AG74" s="49"/>
      <c r="AH74" s="49"/>
      <c r="AI74" s="110"/>
    </row>
    <row r="75" spans="1:35">
      <c r="A75" s="1381"/>
      <c r="B75" s="1383"/>
      <c r="C75" s="24" t="s">
        <v>20</v>
      </c>
      <c r="D75" s="49"/>
      <c r="E75" s="49"/>
      <c r="F75" s="49"/>
      <c r="G75" s="49"/>
      <c r="H75" s="49"/>
      <c r="I75" s="49"/>
      <c r="J75" s="49"/>
      <c r="K75" s="49"/>
      <c r="L75" s="49"/>
      <c r="M75" s="49"/>
      <c r="N75" s="49"/>
      <c r="O75" s="49"/>
      <c r="P75" s="49"/>
      <c r="Q75" s="49"/>
      <c r="R75" s="49"/>
      <c r="S75" s="49"/>
      <c r="T75" s="49"/>
      <c r="U75" s="49"/>
      <c r="V75" s="49"/>
      <c r="W75" s="49"/>
      <c r="X75" s="136"/>
      <c r="Y75" s="136"/>
      <c r="Z75" s="207"/>
      <c r="AA75" s="49"/>
      <c r="AB75" s="49"/>
      <c r="AC75" s="49"/>
      <c r="AD75" s="49"/>
      <c r="AE75" s="49"/>
      <c r="AF75" s="49"/>
      <c r="AG75" s="49"/>
      <c r="AH75" s="49"/>
      <c r="AI75" s="110"/>
    </row>
    <row r="76" spans="1:35">
      <c r="A76" s="1381"/>
      <c r="B76" s="1383" t="s">
        <v>171</v>
      </c>
      <c r="C76" s="138" t="s">
        <v>19</v>
      </c>
      <c r="D76" s="49"/>
      <c r="E76" s="49"/>
      <c r="F76" s="49"/>
      <c r="G76" s="49"/>
      <c r="H76" s="49"/>
      <c r="I76" s="49"/>
      <c r="J76" s="49"/>
      <c r="K76" s="49"/>
      <c r="L76" s="49"/>
      <c r="M76" s="49"/>
      <c r="N76" s="49"/>
      <c r="O76" s="49"/>
      <c r="P76" s="49"/>
      <c r="Q76" s="49"/>
      <c r="R76" s="49"/>
      <c r="S76" s="49"/>
      <c r="T76" s="49"/>
      <c r="U76" s="49"/>
      <c r="V76" s="49"/>
      <c r="W76" s="49"/>
      <c r="X76" s="136"/>
      <c r="Y76" s="136"/>
      <c r="Z76" s="207"/>
      <c r="AA76" s="49"/>
      <c r="AB76" s="49"/>
      <c r="AC76" s="49"/>
      <c r="AD76" s="49"/>
      <c r="AE76" s="49"/>
      <c r="AF76" s="49"/>
      <c r="AG76" s="49"/>
      <c r="AH76" s="49"/>
      <c r="AI76" s="110"/>
    </row>
    <row r="77" spans="1:35">
      <c r="A77" s="1381"/>
      <c r="B77" s="1383"/>
      <c r="C77" s="24" t="s">
        <v>20</v>
      </c>
      <c r="D77" s="49"/>
      <c r="E77" s="49"/>
      <c r="F77" s="49"/>
      <c r="G77" s="49"/>
      <c r="H77" s="49"/>
      <c r="I77" s="49"/>
      <c r="J77" s="49"/>
      <c r="K77" s="49"/>
      <c r="L77" s="49"/>
      <c r="M77" s="49"/>
      <c r="N77" s="49"/>
      <c r="O77" s="49"/>
      <c r="P77" s="49"/>
      <c r="Q77" s="49"/>
      <c r="R77" s="49"/>
      <c r="S77" s="49"/>
      <c r="T77" s="49"/>
      <c r="U77" s="49"/>
      <c r="V77" s="49"/>
      <c r="W77" s="49"/>
      <c r="X77" s="136"/>
      <c r="Y77" s="136"/>
      <c r="Z77" s="207"/>
      <c r="AA77" s="49"/>
      <c r="AB77" s="49"/>
      <c r="AC77" s="49"/>
      <c r="AD77" s="49"/>
      <c r="AE77" s="49"/>
      <c r="AF77" s="49"/>
      <c r="AG77" s="49"/>
      <c r="AH77" s="49"/>
      <c r="AI77" s="110"/>
    </row>
    <row r="78" spans="1:35">
      <c r="A78" s="1381"/>
      <c r="B78" s="1383" t="s">
        <v>155</v>
      </c>
      <c r="C78" s="138" t="s">
        <v>19</v>
      </c>
      <c r="D78" s="49"/>
      <c r="E78" s="49"/>
      <c r="F78" s="49"/>
      <c r="G78" s="49"/>
      <c r="H78" s="49"/>
      <c r="I78" s="49"/>
      <c r="J78" s="49"/>
      <c r="K78" s="49"/>
      <c r="L78" s="49"/>
      <c r="M78" s="49"/>
      <c r="N78" s="49"/>
      <c r="O78" s="49"/>
      <c r="P78" s="49"/>
      <c r="Q78" s="49"/>
      <c r="R78" s="49"/>
      <c r="S78" s="49"/>
      <c r="T78" s="49"/>
      <c r="U78" s="49"/>
      <c r="V78" s="49"/>
      <c r="W78" s="49"/>
      <c r="X78" s="136"/>
      <c r="Y78" s="136"/>
      <c r="Z78" s="207"/>
      <c r="AA78" s="49"/>
      <c r="AB78" s="49"/>
      <c r="AC78" s="49"/>
      <c r="AD78" s="49"/>
      <c r="AE78" s="49"/>
      <c r="AF78" s="49"/>
      <c r="AG78" s="49"/>
      <c r="AH78" s="49"/>
      <c r="AI78" s="110"/>
    </row>
    <row r="79" spans="1:35">
      <c r="A79" s="1381"/>
      <c r="B79" s="1383"/>
      <c r="C79" s="24" t="s">
        <v>20</v>
      </c>
      <c r="D79" s="49"/>
      <c r="E79" s="49"/>
      <c r="F79" s="49"/>
      <c r="G79" s="49"/>
      <c r="H79" s="49"/>
      <c r="I79" s="49"/>
      <c r="J79" s="49"/>
      <c r="K79" s="49"/>
      <c r="L79" s="49"/>
      <c r="M79" s="49"/>
      <c r="N79" s="49"/>
      <c r="O79" s="49"/>
      <c r="P79" s="49"/>
      <c r="Q79" s="49"/>
      <c r="R79" s="49"/>
      <c r="S79" s="49"/>
      <c r="T79" s="49"/>
      <c r="U79" s="49"/>
      <c r="V79" s="49"/>
      <c r="W79" s="49"/>
      <c r="X79" s="136"/>
      <c r="Y79" s="136"/>
      <c r="Z79" s="207"/>
      <c r="AA79" s="49"/>
      <c r="AB79" s="49"/>
      <c r="AC79" s="49"/>
      <c r="AD79" s="49"/>
      <c r="AE79" s="49"/>
      <c r="AF79" s="49"/>
      <c r="AG79" s="49"/>
      <c r="AH79" s="49"/>
      <c r="AI79" s="110"/>
    </row>
    <row r="80" spans="1:35">
      <c r="A80" s="1381"/>
      <c r="B80" s="1383" t="s">
        <v>172</v>
      </c>
      <c r="C80" s="138" t="s">
        <v>19</v>
      </c>
      <c r="D80" s="49"/>
      <c r="E80" s="49"/>
      <c r="F80" s="49"/>
      <c r="G80" s="49"/>
      <c r="H80" s="49"/>
      <c r="I80" s="49"/>
      <c r="J80" s="49"/>
      <c r="K80" s="49"/>
      <c r="L80" s="49"/>
      <c r="M80" s="49"/>
      <c r="N80" s="49"/>
      <c r="O80" s="49"/>
      <c r="P80" s="49"/>
      <c r="Q80" s="49"/>
      <c r="R80" s="49"/>
      <c r="S80" s="49"/>
      <c r="T80" s="49"/>
      <c r="U80" s="49"/>
      <c r="V80" s="49"/>
      <c r="W80" s="49"/>
      <c r="X80" s="136"/>
      <c r="Y80" s="136"/>
      <c r="Z80" s="207"/>
      <c r="AA80" s="49"/>
      <c r="AB80" s="49"/>
      <c r="AC80" s="49"/>
      <c r="AD80" s="49"/>
      <c r="AE80" s="49"/>
      <c r="AF80" s="49"/>
      <c r="AG80" s="49"/>
      <c r="AH80" s="49"/>
      <c r="AI80" s="110"/>
    </row>
    <row r="81" spans="1:35">
      <c r="A81" s="1381"/>
      <c r="B81" s="1383"/>
      <c r="C81" s="24" t="s">
        <v>20</v>
      </c>
      <c r="D81" s="49"/>
      <c r="E81" s="49"/>
      <c r="F81" s="49"/>
      <c r="G81" s="49"/>
      <c r="H81" s="49"/>
      <c r="I81" s="49"/>
      <c r="J81" s="49"/>
      <c r="K81" s="49"/>
      <c r="L81" s="49"/>
      <c r="M81" s="49"/>
      <c r="N81" s="49"/>
      <c r="O81" s="49"/>
      <c r="P81" s="49"/>
      <c r="Q81" s="49"/>
      <c r="R81" s="49"/>
      <c r="S81" s="49"/>
      <c r="T81" s="49"/>
      <c r="U81" s="49"/>
      <c r="V81" s="49"/>
      <c r="W81" s="49"/>
      <c r="X81" s="136"/>
      <c r="Y81" s="136"/>
      <c r="Z81" s="207"/>
      <c r="AA81" s="49"/>
      <c r="AB81" s="49"/>
      <c r="AC81" s="49"/>
      <c r="AD81" s="49"/>
      <c r="AE81" s="49"/>
      <c r="AF81" s="49"/>
      <c r="AG81" s="49"/>
      <c r="AH81" s="49"/>
      <c r="AI81" s="110"/>
    </row>
    <row r="82" spans="1:35">
      <c r="A82" s="1381"/>
      <c r="B82" s="1383" t="s">
        <v>173</v>
      </c>
      <c r="C82" s="138" t="s">
        <v>19</v>
      </c>
      <c r="D82" s="49"/>
      <c r="E82" s="49"/>
      <c r="F82" s="49"/>
      <c r="G82" s="49"/>
      <c r="H82" s="49"/>
      <c r="I82" s="49"/>
      <c r="J82" s="49"/>
      <c r="K82" s="49"/>
      <c r="L82" s="49"/>
      <c r="M82" s="49"/>
      <c r="N82" s="49"/>
      <c r="O82" s="49"/>
      <c r="P82" s="49"/>
      <c r="Q82" s="49"/>
      <c r="R82" s="49"/>
      <c r="S82" s="49"/>
      <c r="T82" s="49"/>
      <c r="U82" s="49"/>
      <c r="V82" s="49"/>
      <c r="W82" s="49"/>
      <c r="X82" s="136"/>
      <c r="Y82" s="136"/>
      <c r="Z82" s="207"/>
      <c r="AA82" s="49"/>
      <c r="AB82" s="49"/>
      <c r="AC82" s="49"/>
      <c r="AD82" s="49"/>
      <c r="AE82" s="49"/>
      <c r="AF82" s="49"/>
      <c r="AG82" s="49"/>
      <c r="AH82" s="49"/>
      <c r="AI82" s="110"/>
    </row>
    <row r="83" spans="1:35">
      <c r="A83" s="1381"/>
      <c r="B83" s="1383"/>
      <c r="C83" s="24" t="s">
        <v>20</v>
      </c>
      <c r="D83" s="49"/>
      <c r="E83" s="49"/>
      <c r="F83" s="49"/>
      <c r="G83" s="49"/>
      <c r="H83" s="49"/>
      <c r="I83" s="49"/>
      <c r="J83" s="49"/>
      <c r="K83" s="49"/>
      <c r="L83" s="49"/>
      <c r="M83" s="49"/>
      <c r="N83" s="49"/>
      <c r="O83" s="49"/>
      <c r="P83" s="49"/>
      <c r="Q83" s="49"/>
      <c r="R83" s="49"/>
      <c r="S83" s="49"/>
      <c r="T83" s="49"/>
      <c r="U83" s="49"/>
      <c r="V83" s="49"/>
      <c r="W83" s="49"/>
      <c r="X83" s="136"/>
      <c r="Y83" s="136"/>
      <c r="Z83" s="207"/>
      <c r="AA83" s="49"/>
      <c r="AB83" s="49"/>
      <c r="AC83" s="49"/>
      <c r="AD83" s="49"/>
      <c r="AE83" s="49"/>
      <c r="AF83" s="49"/>
      <c r="AG83" s="49"/>
      <c r="AH83" s="49"/>
      <c r="AI83" s="110"/>
    </row>
    <row r="84" spans="1:35">
      <c r="A84" s="1381"/>
      <c r="B84" s="1383" t="s">
        <v>174</v>
      </c>
      <c r="C84" s="138" t="s">
        <v>19</v>
      </c>
      <c r="D84" s="49"/>
      <c r="E84" s="49"/>
      <c r="F84" s="49"/>
      <c r="G84" s="49"/>
      <c r="H84" s="49"/>
      <c r="I84" s="49"/>
      <c r="J84" s="49"/>
      <c r="K84" s="49"/>
      <c r="L84" s="49"/>
      <c r="M84" s="49"/>
      <c r="N84" s="49"/>
      <c r="O84" s="49"/>
      <c r="P84" s="49"/>
      <c r="Q84" s="49"/>
      <c r="R84" s="49"/>
      <c r="S84" s="49"/>
      <c r="T84" s="49"/>
      <c r="U84" s="49"/>
      <c r="V84" s="49"/>
      <c r="W84" s="49"/>
      <c r="X84" s="136"/>
      <c r="Y84" s="136"/>
      <c r="Z84" s="207"/>
      <c r="AA84" s="49"/>
      <c r="AB84" s="49"/>
      <c r="AC84" s="49"/>
      <c r="AD84" s="49"/>
      <c r="AE84" s="49"/>
      <c r="AF84" s="49"/>
      <c r="AG84" s="49"/>
      <c r="AH84" s="49"/>
      <c r="AI84" s="110"/>
    </row>
    <row r="85" spans="1:35">
      <c r="A85" s="1381"/>
      <c r="B85" s="1383"/>
      <c r="C85" s="24" t="s">
        <v>20</v>
      </c>
      <c r="D85" s="49"/>
      <c r="E85" s="49"/>
      <c r="F85" s="49"/>
      <c r="G85" s="49"/>
      <c r="H85" s="49"/>
      <c r="I85" s="49"/>
      <c r="J85" s="49"/>
      <c r="K85" s="49"/>
      <c r="L85" s="49"/>
      <c r="M85" s="49"/>
      <c r="N85" s="49"/>
      <c r="O85" s="49"/>
      <c r="P85" s="49"/>
      <c r="Q85" s="49"/>
      <c r="R85" s="49"/>
      <c r="S85" s="49"/>
      <c r="T85" s="49"/>
      <c r="U85" s="49"/>
      <c r="V85" s="49"/>
      <c r="W85" s="49"/>
      <c r="X85" s="136"/>
      <c r="Y85" s="136"/>
      <c r="Z85" s="207"/>
      <c r="AA85" s="49"/>
      <c r="AB85" s="49"/>
      <c r="AC85" s="49"/>
      <c r="AD85" s="49"/>
      <c r="AE85" s="49"/>
      <c r="AF85" s="49"/>
      <c r="AG85" s="49"/>
      <c r="AH85" s="49"/>
      <c r="AI85" s="110"/>
    </row>
    <row r="86" spans="1:35">
      <c r="A86" s="1381"/>
      <c r="B86" s="1383" t="s">
        <v>175</v>
      </c>
      <c r="C86" s="138" t="s">
        <v>19</v>
      </c>
      <c r="D86" s="49"/>
      <c r="E86" s="49"/>
      <c r="F86" s="49"/>
      <c r="G86" s="49"/>
      <c r="H86" s="49"/>
      <c r="I86" s="49"/>
      <c r="J86" s="49"/>
      <c r="K86" s="49"/>
      <c r="L86" s="49"/>
      <c r="M86" s="49"/>
      <c r="N86" s="49"/>
      <c r="O86" s="49"/>
      <c r="P86" s="49"/>
      <c r="Q86" s="49"/>
      <c r="R86" s="49"/>
      <c r="S86" s="49"/>
      <c r="T86" s="49"/>
      <c r="U86" s="49"/>
      <c r="V86" s="49"/>
      <c r="W86" s="49"/>
      <c r="X86" s="136"/>
      <c r="Y86" s="136"/>
      <c r="Z86" s="207"/>
      <c r="AA86" s="49"/>
      <c r="AB86" s="49"/>
      <c r="AC86" s="49"/>
      <c r="AD86" s="49"/>
      <c r="AE86" s="49"/>
      <c r="AF86" s="49"/>
      <c r="AG86" s="49"/>
      <c r="AH86" s="49"/>
      <c r="AI86" s="110"/>
    </row>
    <row r="87" spans="1:35" ht="15.75" thickBot="1">
      <c r="A87" s="1382"/>
      <c r="B87" s="1384"/>
      <c r="C87" s="21" t="s">
        <v>20</v>
      </c>
      <c r="D87" s="69"/>
      <c r="E87" s="69"/>
      <c r="F87" s="69"/>
      <c r="G87" s="69"/>
      <c r="H87" s="69"/>
      <c r="I87" s="69"/>
      <c r="J87" s="69"/>
      <c r="K87" s="69"/>
      <c r="L87" s="69"/>
      <c r="M87" s="69"/>
      <c r="N87" s="69"/>
      <c r="O87" s="69"/>
      <c r="P87" s="69"/>
      <c r="Q87" s="69"/>
      <c r="R87" s="69"/>
      <c r="S87" s="69"/>
      <c r="T87" s="69"/>
      <c r="U87" s="69"/>
      <c r="V87" s="69"/>
      <c r="W87" s="69"/>
      <c r="X87" s="137"/>
      <c r="Y87" s="137"/>
      <c r="Z87" s="208"/>
      <c r="AA87" s="69"/>
      <c r="AB87" s="69"/>
      <c r="AC87" s="69"/>
      <c r="AD87" s="69"/>
      <c r="AE87" s="69"/>
      <c r="AF87" s="69"/>
      <c r="AG87" s="69"/>
      <c r="AH87" s="69"/>
      <c r="AI87" s="111"/>
    </row>
    <row r="88" spans="1:35" ht="15.75" thickBot="1">
      <c r="A88" s="1376" t="s">
        <v>176</v>
      </c>
      <c r="B88" s="1377"/>
      <c r="C88" s="154"/>
      <c r="D88" s="154"/>
      <c r="E88" s="154"/>
      <c r="F88" s="154"/>
      <c r="G88" s="154"/>
      <c r="H88" s="154"/>
      <c r="I88" s="154"/>
      <c r="J88" s="154"/>
      <c r="K88" s="154"/>
      <c r="L88" s="154"/>
      <c r="M88" s="154"/>
      <c r="N88" s="154"/>
      <c r="O88" s="154"/>
      <c r="P88" s="154"/>
      <c r="Q88" s="154"/>
      <c r="R88" s="154"/>
      <c r="S88" s="154"/>
      <c r="T88" s="154"/>
      <c r="U88" s="154"/>
      <c r="V88" s="154"/>
      <c r="W88" s="154"/>
      <c r="X88" s="163"/>
      <c r="Y88" s="163"/>
      <c r="Z88" s="163"/>
      <c r="AA88" s="154"/>
      <c r="AB88" s="154"/>
      <c r="AC88" s="154"/>
      <c r="AD88" s="154"/>
      <c r="AE88" s="154"/>
      <c r="AF88" s="154"/>
      <c r="AG88" s="154"/>
      <c r="AH88" s="154"/>
      <c r="AI88" s="155"/>
    </row>
  </sheetData>
  <mergeCells count="87">
    <mergeCell ref="C42:AG42"/>
    <mergeCell ref="A46:B46"/>
    <mergeCell ref="A22:A23"/>
    <mergeCell ref="B22:B23"/>
    <mergeCell ref="C53:AG53"/>
    <mergeCell ref="C46:AG46"/>
    <mergeCell ref="B38:B39"/>
    <mergeCell ref="B40:B41"/>
    <mergeCell ref="A38:A41"/>
    <mergeCell ref="F38:X38"/>
    <mergeCell ref="F40:X40"/>
    <mergeCell ref="A42:B42"/>
    <mergeCell ref="B47:B48"/>
    <mergeCell ref="B49:B50"/>
    <mergeCell ref="B51:B52"/>
    <mergeCell ref="A47:A52"/>
    <mergeCell ref="A62:B62"/>
    <mergeCell ref="B54:B55"/>
    <mergeCell ref="B60:B61"/>
    <mergeCell ref="B56:B57"/>
    <mergeCell ref="A54:A61"/>
    <mergeCell ref="B58:B59"/>
    <mergeCell ref="C21:AG21"/>
    <mergeCell ref="C24:AG24"/>
    <mergeCell ref="B5:B6"/>
    <mergeCell ref="B7:B8"/>
    <mergeCell ref="A43:A45"/>
    <mergeCell ref="B43:B45"/>
    <mergeCell ref="A10:A13"/>
    <mergeCell ref="B10:B11"/>
    <mergeCell ref="B12:B13"/>
    <mergeCell ref="A15:A20"/>
    <mergeCell ref="B15:B16"/>
    <mergeCell ref="B17:B18"/>
    <mergeCell ref="B19:B20"/>
    <mergeCell ref="A14:B14"/>
    <mergeCell ref="A21:B21"/>
    <mergeCell ref="A24:B24"/>
    <mergeCell ref="A9:B9"/>
    <mergeCell ref="C9:AG9"/>
    <mergeCell ref="Y1:Y2"/>
    <mergeCell ref="X1:X2"/>
    <mergeCell ref="F3:X3"/>
    <mergeCell ref="AA1:AA2"/>
    <mergeCell ref="D1:S1"/>
    <mergeCell ref="T1:W1"/>
    <mergeCell ref="C1:C2"/>
    <mergeCell ref="A1:A2"/>
    <mergeCell ref="B1:B2"/>
    <mergeCell ref="A3:A8"/>
    <mergeCell ref="C14:AG14"/>
    <mergeCell ref="AC1:AG1"/>
    <mergeCell ref="AB1:AB2"/>
    <mergeCell ref="Z1:Z2"/>
    <mergeCell ref="AH1:AI1"/>
    <mergeCell ref="B69:B70"/>
    <mergeCell ref="B3:B4"/>
    <mergeCell ref="C37:AG37"/>
    <mergeCell ref="F27:X27"/>
    <mergeCell ref="A25:A36"/>
    <mergeCell ref="B25:B26"/>
    <mergeCell ref="B27:B28"/>
    <mergeCell ref="B29:B30"/>
    <mergeCell ref="B31:B32"/>
    <mergeCell ref="B33:B34"/>
    <mergeCell ref="B35:B36"/>
    <mergeCell ref="A37:B37"/>
    <mergeCell ref="F15:X15"/>
    <mergeCell ref="F17:X17"/>
    <mergeCell ref="F19:X19"/>
    <mergeCell ref="F25:X25"/>
    <mergeCell ref="A53:B53"/>
    <mergeCell ref="A88:B88"/>
    <mergeCell ref="A71:B71"/>
    <mergeCell ref="A72:A87"/>
    <mergeCell ref="B86:B87"/>
    <mergeCell ref="B84:B85"/>
    <mergeCell ref="B72:B73"/>
    <mergeCell ref="B74:B75"/>
    <mergeCell ref="B76:B77"/>
    <mergeCell ref="B78:B79"/>
    <mergeCell ref="B80:B81"/>
    <mergeCell ref="B82:B83"/>
    <mergeCell ref="A63:A70"/>
    <mergeCell ref="B63:B64"/>
    <mergeCell ref="B65:B66"/>
    <mergeCell ref="B67:B6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A61"/>
  <sheetViews>
    <sheetView workbookViewId="0">
      <selection activeCell="S47" sqref="S47"/>
    </sheetView>
  </sheetViews>
  <sheetFormatPr defaultRowHeight="15"/>
  <cols>
    <col min="1" max="1" width="16.140625" customWidth="1"/>
    <col min="2" max="2" width="14.42578125" customWidth="1"/>
    <col min="3" max="3" width="14.140625" customWidth="1"/>
    <col min="4" max="18" width="8.85546875" customWidth="1"/>
    <col min="19" max="20" width="8.85546875" style="1" customWidth="1"/>
    <col min="21" max="21" width="13.85546875" customWidth="1"/>
    <col min="22" max="22" width="14.42578125" bestFit="1" customWidth="1"/>
    <col min="25" max="25" width="14.28515625" customWidth="1"/>
    <col min="26" max="26" width="10.28515625" customWidth="1"/>
    <col min="27" max="27" width="10.5703125" customWidth="1"/>
  </cols>
  <sheetData>
    <row r="1" spans="1:27">
      <c r="A1" s="1367" t="s">
        <v>14</v>
      </c>
      <c r="B1" s="1369" t="s">
        <v>0</v>
      </c>
      <c r="C1" s="1369" t="s">
        <v>21</v>
      </c>
      <c r="D1" s="1425" t="s">
        <v>24</v>
      </c>
      <c r="E1" s="1425"/>
      <c r="F1" s="1425"/>
      <c r="G1" s="1425"/>
      <c r="H1" s="1425"/>
      <c r="I1" s="1425"/>
      <c r="J1" s="1425"/>
      <c r="K1" s="1425"/>
      <c r="L1" s="1425"/>
      <c r="M1" s="1403" t="s">
        <v>17</v>
      </c>
      <c r="N1" s="1426"/>
      <c r="O1" s="1426"/>
      <c r="P1" s="1426"/>
      <c r="Q1" s="1426"/>
      <c r="R1" s="1426"/>
      <c r="S1" s="18" t="s">
        <v>18</v>
      </c>
      <c r="T1" s="1403" t="s">
        <v>40</v>
      </c>
      <c r="U1" s="1398" t="s">
        <v>79</v>
      </c>
      <c r="V1" s="1398" t="s">
        <v>80</v>
      </c>
      <c r="W1" s="1398"/>
      <c r="X1" s="1398"/>
      <c r="Y1" s="1398"/>
      <c r="Z1" s="1402" t="s">
        <v>80</v>
      </c>
      <c r="AA1" s="1402"/>
    </row>
    <row r="2" spans="1:27">
      <c r="A2" s="1368"/>
      <c r="B2" s="1370"/>
      <c r="C2" s="1370"/>
      <c r="D2" s="60" t="s">
        <v>5</v>
      </c>
      <c r="E2" s="60" t="s">
        <v>6</v>
      </c>
      <c r="F2" s="60" t="s">
        <v>7</v>
      </c>
      <c r="G2" s="60" t="s">
        <v>8</v>
      </c>
      <c r="H2" s="60" t="s">
        <v>9</v>
      </c>
      <c r="I2" s="60" t="s">
        <v>10</v>
      </c>
      <c r="J2" s="60" t="s">
        <v>11</v>
      </c>
      <c r="K2" s="60" t="s">
        <v>12</v>
      </c>
      <c r="L2" s="60" t="s">
        <v>25</v>
      </c>
      <c r="M2" s="60" t="s">
        <v>1</v>
      </c>
      <c r="N2" s="60" t="s">
        <v>2</v>
      </c>
      <c r="O2" s="60" t="s">
        <v>3</v>
      </c>
      <c r="P2" s="61" t="s">
        <v>4</v>
      </c>
      <c r="Q2" s="61" t="s">
        <v>5</v>
      </c>
      <c r="R2" s="61" t="s">
        <v>6</v>
      </c>
      <c r="S2" s="61"/>
      <c r="T2" s="1404"/>
      <c r="U2" s="1427"/>
      <c r="V2" s="62" t="s">
        <v>76</v>
      </c>
      <c r="W2" s="62" t="s">
        <v>18</v>
      </c>
      <c r="X2" s="62" t="s">
        <v>40</v>
      </c>
      <c r="Y2" s="62" t="s">
        <v>77</v>
      </c>
      <c r="Z2" s="63" t="s">
        <v>83</v>
      </c>
      <c r="AA2" s="63" t="s">
        <v>84</v>
      </c>
    </row>
    <row r="3" spans="1:27" hidden="1">
      <c r="A3" s="1350" t="s">
        <v>15</v>
      </c>
      <c r="B3" s="1353" t="s">
        <v>16</v>
      </c>
      <c r="C3" s="2" t="s">
        <v>19</v>
      </c>
      <c r="D3" s="2"/>
      <c r="E3" s="2">
        <v>8250</v>
      </c>
      <c r="F3" s="2"/>
      <c r="G3" s="2"/>
      <c r="H3" s="2"/>
      <c r="I3" s="2"/>
      <c r="J3" s="2"/>
      <c r="K3" s="2"/>
      <c r="L3" s="2"/>
      <c r="M3" s="2">
        <v>450</v>
      </c>
      <c r="N3" s="2">
        <v>100</v>
      </c>
      <c r="O3" s="2"/>
      <c r="P3" s="6"/>
      <c r="Q3" s="6"/>
      <c r="R3" s="6"/>
      <c r="S3" s="6">
        <v>4</v>
      </c>
      <c r="T3" s="6"/>
      <c r="U3" s="64"/>
      <c r="V3" s="65">
        <f>E3*'Pret unitar canal'!D8+CANAL!M3*'Pret unitar apa'!I12+CANAL!N3*'Pret unitar apa'!I13</f>
        <v>1299533.4888427998</v>
      </c>
      <c r="W3" s="65">
        <f>S3*15000</f>
        <v>60000</v>
      </c>
      <c r="X3" s="65"/>
      <c r="Y3" s="65"/>
      <c r="Z3" s="65">
        <f>V3+W3+X3+Y3</f>
        <v>1359533.4888427998</v>
      </c>
      <c r="AA3" s="66"/>
    </row>
    <row r="4" spans="1:27" hidden="1">
      <c r="A4" s="1351"/>
      <c r="B4" s="1354"/>
      <c r="C4" s="4" t="s">
        <v>20</v>
      </c>
      <c r="D4" s="4"/>
      <c r="E4" s="4"/>
      <c r="F4" s="4"/>
      <c r="G4" s="4"/>
      <c r="H4" s="4"/>
      <c r="I4" s="4"/>
      <c r="J4" s="4"/>
      <c r="K4" s="4"/>
      <c r="L4" s="4"/>
      <c r="M4" s="4"/>
      <c r="N4" s="4"/>
      <c r="O4" s="4"/>
      <c r="P4" s="7"/>
      <c r="Q4" s="7"/>
      <c r="R4" s="7"/>
      <c r="S4" s="7"/>
      <c r="T4" s="7"/>
      <c r="U4" s="49"/>
      <c r="V4" s="50">
        <v>0</v>
      </c>
      <c r="W4" s="50"/>
      <c r="X4" s="50"/>
      <c r="Y4" s="50"/>
      <c r="Z4" s="50"/>
      <c r="AA4" s="67">
        <f>V4+W4+X4+Y4</f>
        <v>0</v>
      </c>
    </row>
    <row r="5" spans="1:27" hidden="1">
      <c r="A5" s="1351"/>
      <c r="B5" s="1355" t="s">
        <v>22</v>
      </c>
      <c r="C5" s="3" t="s">
        <v>19</v>
      </c>
      <c r="D5" s="3"/>
      <c r="E5" s="3">
        <v>8200</v>
      </c>
      <c r="F5" s="3">
        <v>400</v>
      </c>
      <c r="G5" s="3"/>
      <c r="H5" s="3"/>
      <c r="I5" s="3"/>
      <c r="J5" s="3"/>
      <c r="K5" s="3"/>
      <c r="L5" s="3"/>
      <c r="M5" s="3"/>
      <c r="N5" s="3"/>
      <c r="O5" s="3"/>
      <c r="P5" s="8"/>
      <c r="Q5" s="8"/>
      <c r="R5" s="8"/>
      <c r="S5" s="8"/>
      <c r="T5" s="17"/>
      <c r="U5" s="49"/>
      <c r="V5" s="50">
        <f>E5*'Pret unitar canal'!D8+CANAL!F5*'Pret unitar canal'!D9</f>
        <v>1323327.9999999998</v>
      </c>
      <c r="W5" s="50"/>
      <c r="X5" s="50"/>
      <c r="Y5" s="50"/>
      <c r="Z5" s="50">
        <f>V5+W5+X5+Y5</f>
        <v>1323327.9999999998</v>
      </c>
      <c r="AA5" s="67"/>
    </row>
    <row r="6" spans="1:27" hidden="1">
      <c r="A6" s="1351"/>
      <c r="B6" s="1354"/>
      <c r="C6" s="4" t="s">
        <v>20</v>
      </c>
      <c r="D6" s="4"/>
      <c r="E6" s="4"/>
      <c r="F6" s="4"/>
      <c r="G6" s="4"/>
      <c r="H6" s="4"/>
      <c r="I6" s="4"/>
      <c r="J6" s="4"/>
      <c r="K6" s="4"/>
      <c r="L6" s="4"/>
      <c r="M6" s="4"/>
      <c r="N6" s="4"/>
      <c r="O6" s="4"/>
      <c r="P6" s="7"/>
      <c r="Q6" s="7"/>
      <c r="R6" s="7"/>
      <c r="S6" s="7"/>
      <c r="T6" s="7"/>
      <c r="U6" s="49"/>
      <c r="V6" s="50">
        <v>0</v>
      </c>
      <c r="W6" s="50"/>
      <c r="X6" s="50"/>
      <c r="Y6" s="50"/>
      <c r="Z6" s="50"/>
      <c r="AA6" s="67">
        <f t="shared" ref="AA6:AA51" si="0">V6+W6+X6+Y6</f>
        <v>0</v>
      </c>
    </row>
    <row r="7" spans="1:27" hidden="1">
      <c r="A7" s="1351"/>
      <c r="B7" s="1355" t="s">
        <v>23</v>
      </c>
      <c r="C7" s="3" t="s">
        <v>19</v>
      </c>
      <c r="D7" s="3"/>
      <c r="E7" s="3">
        <v>1200</v>
      </c>
      <c r="F7" s="3"/>
      <c r="G7" s="3"/>
      <c r="H7" s="3"/>
      <c r="I7" s="3"/>
      <c r="J7" s="3"/>
      <c r="K7" s="3"/>
      <c r="L7" s="3"/>
      <c r="M7" s="3"/>
      <c r="N7" s="3"/>
      <c r="O7" s="3"/>
      <c r="P7" s="8"/>
      <c r="Q7" s="8"/>
      <c r="R7" s="8"/>
      <c r="S7" s="8"/>
      <c r="T7" s="17"/>
      <c r="U7" s="49"/>
      <c r="V7" s="50">
        <f>E7*'Pret unitar canal'!D8</f>
        <v>183743.99999999997</v>
      </c>
      <c r="W7" s="50"/>
      <c r="X7" s="50"/>
      <c r="Y7" s="50"/>
      <c r="Z7" s="50">
        <f>V7+W7+X7+Y7</f>
        <v>183743.99999999997</v>
      </c>
      <c r="AA7" s="67"/>
    </row>
    <row r="8" spans="1:27" ht="15.75" hidden="1" thickBot="1">
      <c r="A8" s="1351"/>
      <c r="B8" s="1412"/>
      <c r="C8" s="55" t="s">
        <v>20</v>
      </c>
      <c r="D8" s="55"/>
      <c r="E8" s="55"/>
      <c r="F8" s="55"/>
      <c r="G8" s="55"/>
      <c r="H8" s="55"/>
      <c r="I8" s="55"/>
      <c r="J8" s="55"/>
      <c r="K8" s="55"/>
      <c r="L8" s="55"/>
      <c r="M8" s="55"/>
      <c r="N8" s="55"/>
      <c r="O8" s="55"/>
      <c r="P8" s="56"/>
      <c r="Q8" s="56"/>
      <c r="R8" s="56"/>
      <c r="S8" s="56"/>
      <c r="T8" s="56"/>
      <c r="U8" s="57"/>
      <c r="V8" s="58">
        <v>0</v>
      </c>
      <c r="W8" s="58"/>
      <c r="X8" s="58"/>
      <c r="Y8" s="58"/>
      <c r="Z8" s="58">
        <f>V8+W8+X8+Y8</f>
        <v>0</v>
      </c>
      <c r="AA8" s="68">
        <f t="shared" si="0"/>
        <v>0</v>
      </c>
    </row>
    <row r="9" spans="1:27" ht="15.75" hidden="1" thickBot="1">
      <c r="A9" s="1374" t="s">
        <v>85</v>
      </c>
      <c r="B9" s="1375"/>
      <c r="C9" s="1422"/>
      <c r="D9" s="1423"/>
      <c r="E9" s="1423"/>
      <c r="F9" s="1423"/>
      <c r="G9" s="1423"/>
      <c r="H9" s="1423"/>
      <c r="I9" s="1423"/>
      <c r="J9" s="1423"/>
      <c r="K9" s="1423"/>
      <c r="L9" s="1423"/>
      <c r="M9" s="1423"/>
      <c r="N9" s="1423"/>
      <c r="O9" s="1423"/>
      <c r="P9" s="1423"/>
      <c r="Q9" s="1423"/>
      <c r="R9" s="1423"/>
      <c r="S9" s="1423"/>
      <c r="T9" s="1423"/>
      <c r="U9" s="1423"/>
      <c r="V9" s="1423"/>
      <c r="W9" s="1423"/>
      <c r="X9" s="1423"/>
      <c r="Y9" s="1424"/>
      <c r="Z9" s="75">
        <f>Z3+Z5+Z7</f>
        <v>2866605.4888427993</v>
      </c>
      <c r="AA9" s="76">
        <f>AA4+AA6+AA8</f>
        <v>0</v>
      </c>
    </row>
    <row r="10" spans="1:27" hidden="1">
      <c r="A10" s="1350" t="s">
        <v>26</v>
      </c>
      <c r="B10" s="1353" t="s">
        <v>26</v>
      </c>
      <c r="C10" s="2" t="s">
        <v>19</v>
      </c>
      <c r="D10" s="2"/>
      <c r="E10" s="2">
        <v>3800</v>
      </c>
      <c r="F10" s="2"/>
      <c r="G10" s="2"/>
      <c r="H10" s="2"/>
      <c r="I10" s="2"/>
      <c r="J10" s="2"/>
      <c r="K10" s="2"/>
      <c r="L10" s="2"/>
      <c r="M10" s="14"/>
      <c r="N10" s="14"/>
      <c r="O10" s="14"/>
      <c r="P10" s="15"/>
      <c r="Q10" s="15"/>
      <c r="R10" s="15"/>
      <c r="S10" s="6"/>
      <c r="T10" s="6"/>
      <c r="U10" s="64"/>
      <c r="V10" s="65">
        <f>E10*'Pret unitar canal'!D8</f>
        <v>581855.99999999988</v>
      </c>
      <c r="W10" s="65"/>
      <c r="X10" s="65"/>
      <c r="Y10" s="65"/>
      <c r="Z10" s="65">
        <f>V10+W10+X10+Y10</f>
        <v>581855.99999999988</v>
      </c>
      <c r="AA10" s="72"/>
    </row>
    <row r="11" spans="1:27" hidden="1">
      <c r="A11" s="1351"/>
      <c r="B11" s="1354"/>
      <c r="C11" s="4" t="s">
        <v>20</v>
      </c>
      <c r="D11" s="4"/>
      <c r="E11" s="4"/>
      <c r="F11" s="4"/>
      <c r="G11" s="4"/>
      <c r="H11" s="4"/>
      <c r="I11" s="4"/>
      <c r="J11" s="4"/>
      <c r="K11" s="4"/>
      <c r="L11" s="4"/>
      <c r="M11" s="12"/>
      <c r="N11" s="12"/>
      <c r="O11" s="12"/>
      <c r="P11" s="13"/>
      <c r="Q11" s="13"/>
      <c r="R11" s="13"/>
      <c r="S11" s="7"/>
      <c r="T11" s="7"/>
      <c r="U11" s="49"/>
      <c r="V11" s="50">
        <v>0</v>
      </c>
      <c r="W11" s="50"/>
      <c r="X11" s="50"/>
      <c r="Y11" s="50"/>
      <c r="Z11" s="50"/>
      <c r="AA11" s="67">
        <f t="shared" si="0"/>
        <v>0</v>
      </c>
    </row>
    <row r="12" spans="1:27" hidden="1">
      <c r="A12" s="1351"/>
      <c r="B12" s="1355" t="s">
        <v>27</v>
      </c>
      <c r="C12" s="16" t="s">
        <v>19</v>
      </c>
      <c r="D12" s="3"/>
      <c r="E12" s="3">
        <v>7150</v>
      </c>
      <c r="F12" s="3"/>
      <c r="G12" s="3"/>
      <c r="H12" s="3"/>
      <c r="I12" s="3"/>
      <c r="J12" s="3"/>
      <c r="K12" s="3"/>
      <c r="L12" s="3"/>
      <c r="M12" s="10">
        <v>500</v>
      </c>
      <c r="N12" s="10"/>
      <c r="O12" s="10"/>
      <c r="P12" s="11"/>
      <c r="Q12" s="11"/>
      <c r="R12" s="11"/>
      <c r="S12" s="8">
        <v>2</v>
      </c>
      <c r="T12" s="17"/>
      <c r="U12" s="49"/>
      <c r="V12" s="50">
        <f>E12*'Pret unitar canal'!D8+CANAL!F12*'Pret unitar canal'!D9+CANAL!M12*'Pret unitar apa'!I12</f>
        <v>1127357.5608739997</v>
      </c>
      <c r="W12" s="50">
        <f>S12*15000</f>
        <v>30000</v>
      </c>
      <c r="X12" s="50"/>
      <c r="Y12" s="50"/>
      <c r="Z12" s="50">
        <f>V12+W12+X12+Y12</f>
        <v>1157357.5608739997</v>
      </c>
      <c r="AA12" s="67"/>
    </row>
    <row r="13" spans="1:27" ht="15.75" hidden="1" thickBot="1">
      <c r="A13" s="1351"/>
      <c r="B13" s="1412"/>
      <c r="C13" s="55" t="s">
        <v>20</v>
      </c>
      <c r="D13" s="55"/>
      <c r="E13" s="55"/>
      <c r="F13" s="55"/>
      <c r="G13" s="55"/>
      <c r="H13" s="55"/>
      <c r="I13" s="55"/>
      <c r="J13" s="55"/>
      <c r="K13" s="55"/>
      <c r="L13" s="55"/>
      <c r="M13" s="73"/>
      <c r="N13" s="73"/>
      <c r="O13" s="73"/>
      <c r="P13" s="74"/>
      <c r="Q13" s="74"/>
      <c r="R13" s="74"/>
      <c r="S13" s="56"/>
      <c r="T13" s="56"/>
      <c r="U13" s="57"/>
      <c r="V13" s="58">
        <v>0</v>
      </c>
      <c r="W13" s="58"/>
      <c r="X13" s="58"/>
      <c r="Y13" s="58"/>
      <c r="Z13" s="58"/>
      <c r="AA13" s="68">
        <f t="shared" si="0"/>
        <v>0</v>
      </c>
    </row>
    <row r="14" spans="1:27" ht="15.75" hidden="1" thickBot="1">
      <c r="A14" s="1348" t="s">
        <v>86</v>
      </c>
      <c r="B14" s="1349"/>
      <c r="C14" s="77"/>
      <c r="D14" s="78"/>
      <c r="E14" s="79"/>
      <c r="F14" s="79"/>
      <c r="G14" s="79"/>
      <c r="H14" s="79"/>
      <c r="I14" s="79"/>
      <c r="J14" s="79"/>
      <c r="K14" s="79"/>
      <c r="L14" s="79"/>
      <c r="M14" s="80"/>
      <c r="N14" s="80"/>
      <c r="O14" s="80"/>
      <c r="P14" s="80"/>
      <c r="Q14" s="80"/>
      <c r="R14" s="80"/>
      <c r="S14" s="79"/>
      <c r="T14" s="78"/>
      <c r="U14" s="81"/>
      <c r="V14" s="75"/>
      <c r="W14" s="75"/>
      <c r="X14" s="75"/>
      <c r="Y14" s="75"/>
      <c r="Z14" s="75">
        <f>Z10+Z12</f>
        <v>1739213.5608739997</v>
      </c>
      <c r="AA14" s="76">
        <f>AA11+AA13</f>
        <v>0</v>
      </c>
    </row>
    <row r="15" spans="1:27" hidden="1">
      <c r="A15" s="1350" t="s">
        <v>30</v>
      </c>
      <c r="B15" s="1353" t="s">
        <v>31</v>
      </c>
      <c r="C15" s="2" t="s">
        <v>19</v>
      </c>
      <c r="D15" s="1431">
        <v>1</v>
      </c>
      <c r="E15" s="1432"/>
      <c r="F15" s="1432"/>
      <c r="G15" s="1432"/>
      <c r="H15" s="1432"/>
      <c r="I15" s="1432"/>
      <c r="J15" s="1432"/>
      <c r="K15" s="1432"/>
      <c r="L15" s="1432"/>
      <c r="M15" s="1432"/>
      <c r="N15" s="1432"/>
      <c r="O15" s="1432"/>
      <c r="P15" s="1432"/>
      <c r="Q15" s="1432"/>
      <c r="R15" s="1432"/>
      <c r="S15" s="1432"/>
      <c r="T15" s="6"/>
      <c r="U15" s="64"/>
      <c r="V15" s="65">
        <v>0</v>
      </c>
      <c r="W15" s="65"/>
      <c r="X15" s="65"/>
      <c r="Y15" s="65"/>
      <c r="Z15" s="65">
        <f>V15+W15+X15+Y15</f>
        <v>0</v>
      </c>
      <c r="AA15" s="72"/>
    </row>
    <row r="16" spans="1:27" hidden="1">
      <c r="A16" s="1351"/>
      <c r="B16" s="1354"/>
      <c r="C16" s="4" t="s">
        <v>20</v>
      </c>
      <c r="D16" s="4"/>
      <c r="E16" s="4"/>
      <c r="F16" s="4"/>
      <c r="G16" s="4"/>
      <c r="H16" s="4"/>
      <c r="I16" s="4"/>
      <c r="J16" s="4"/>
      <c r="K16" s="4"/>
      <c r="L16" s="4"/>
      <c r="M16" s="4"/>
      <c r="N16" s="4"/>
      <c r="O16" s="4"/>
      <c r="P16" s="7"/>
      <c r="Q16" s="7"/>
      <c r="R16" s="7"/>
      <c r="S16" s="7"/>
      <c r="T16" s="7"/>
      <c r="U16" s="49"/>
      <c r="V16" s="50">
        <v>0</v>
      </c>
      <c r="W16" s="50"/>
      <c r="X16" s="50"/>
      <c r="Y16" s="50"/>
      <c r="Z16" s="50"/>
      <c r="AA16" s="67">
        <f t="shared" si="0"/>
        <v>0</v>
      </c>
    </row>
    <row r="17" spans="1:27" hidden="1">
      <c r="A17" s="1351"/>
      <c r="B17" s="1355" t="s">
        <v>30</v>
      </c>
      <c r="C17" s="16" t="s">
        <v>19</v>
      </c>
      <c r="D17" s="16"/>
      <c r="E17" s="16">
        <v>11700</v>
      </c>
      <c r="F17" s="16">
        <v>1150</v>
      </c>
      <c r="G17" s="16"/>
      <c r="H17" s="16"/>
      <c r="I17" s="16"/>
      <c r="J17" s="16"/>
      <c r="K17" s="16"/>
      <c r="L17" s="16"/>
      <c r="M17" s="16">
        <v>1200</v>
      </c>
      <c r="N17" s="16"/>
      <c r="O17" s="16"/>
      <c r="P17" s="17"/>
      <c r="Q17" s="17"/>
      <c r="R17" s="17"/>
      <c r="S17" s="17">
        <v>5</v>
      </c>
      <c r="T17" s="17"/>
      <c r="U17" s="49"/>
      <c r="V17" s="50">
        <f>E17*'Pret unitar canal'!D8+CANAL!F17*'Pret unitar canal'!D9+'Pret unitar apa'!I12</f>
        <v>1986333.0991217478</v>
      </c>
      <c r="W17" s="50">
        <f>S17*15000</f>
        <v>75000</v>
      </c>
      <c r="X17" s="50"/>
      <c r="Y17" s="50"/>
      <c r="Z17" s="50">
        <f>V17+W17+X17+Y17</f>
        <v>2061333.0991217478</v>
      </c>
      <c r="AA17" s="67"/>
    </row>
    <row r="18" spans="1:27" hidden="1">
      <c r="A18" s="1351"/>
      <c r="B18" s="1354"/>
      <c r="C18" s="4" t="s">
        <v>20</v>
      </c>
      <c r="D18" s="4"/>
      <c r="E18" s="4"/>
      <c r="F18" s="4"/>
      <c r="G18" s="4"/>
      <c r="H18" s="4"/>
      <c r="I18" s="4"/>
      <c r="J18" s="4"/>
      <c r="K18" s="4"/>
      <c r="L18" s="4"/>
      <c r="M18" s="4"/>
      <c r="N18" s="4"/>
      <c r="O18" s="4"/>
      <c r="P18" s="7"/>
      <c r="Q18" s="7"/>
      <c r="R18" s="7"/>
      <c r="S18" s="7"/>
      <c r="T18" s="7"/>
      <c r="U18" s="49"/>
      <c r="V18" s="50">
        <v>0</v>
      </c>
      <c r="W18" s="50"/>
      <c r="X18" s="50"/>
      <c r="Y18" s="50"/>
      <c r="Z18" s="50"/>
      <c r="AA18" s="67">
        <f t="shared" si="0"/>
        <v>0</v>
      </c>
    </row>
    <row r="19" spans="1:27" hidden="1">
      <c r="A19" s="1351"/>
      <c r="B19" s="1355" t="s">
        <v>32</v>
      </c>
      <c r="C19" s="16" t="s">
        <v>19</v>
      </c>
      <c r="D19" s="16"/>
      <c r="E19" s="16">
        <v>2100</v>
      </c>
      <c r="F19" s="16">
        <v>1500</v>
      </c>
      <c r="G19" s="16"/>
      <c r="H19" s="16"/>
      <c r="I19" s="16"/>
      <c r="J19" s="16"/>
      <c r="K19" s="16"/>
      <c r="L19" s="16"/>
      <c r="M19" s="16">
        <v>1600</v>
      </c>
      <c r="N19" s="16"/>
      <c r="O19" s="16"/>
      <c r="P19" s="17"/>
      <c r="Q19" s="17"/>
      <c r="R19" s="17"/>
      <c r="S19" s="17">
        <v>1</v>
      </c>
      <c r="T19" s="17"/>
      <c r="U19" s="49"/>
      <c r="V19" s="50">
        <f>E19*'Pret unitar canal'!D8+CANAL!F19*'Pret unitar canal'!D9+CANAL!M19*'Pret unitar apa'!I12</f>
        <v>679750.59479679982</v>
      </c>
      <c r="W19" s="50">
        <f>S19*15000</f>
        <v>15000</v>
      </c>
      <c r="X19" s="50"/>
      <c r="Y19" s="50"/>
      <c r="Z19" s="50">
        <f>V19+W19+X19+Y19</f>
        <v>694750.59479679982</v>
      </c>
      <c r="AA19" s="67"/>
    </row>
    <row r="20" spans="1:27" ht="15.75" hidden="1" thickBot="1">
      <c r="A20" s="1352"/>
      <c r="B20" s="1356"/>
      <c r="C20" s="5" t="s">
        <v>20</v>
      </c>
      <c r="D20" s="5"/>
      <c r="E20" s="5"/>
      <c r="F20" s="5"/>
      <c r="G20" s="5"/>
      <c r="H20" s="5"/>
      <c r="I20" s="5"/>
      <c r="J20" s="5"/>
      <c r="K20" s="5"/>
      <c r="L20" s="5"/>
      <c r="M20" s="5"/>
      <c r="N20" s="5"/>
      <c r="O20" s="5"/>
      <c r="P20" s="9"/>
      <c r="Q20" s="9"/>
      <c r="R20" s="9"/>
      <c r="S20" s="9"/>
      <c r="T20" s="9"/>
      <c r="U20" s="69"/>
      <c r="V20" s="70">
        <v>0</v>
      </c>
      <c r="W20" s="70"/>
      <c r="X20" s="70"/>
      <c r="Y20" s="70"/>
      <c r="Z20" s="70"/>
      <c r="AA20" s="71">
        <f t="shared" si="0"/>
        <v>0</v>
      </c>
    </row>
    <row r="21" spans="1:27" ht="15.75" hidden="1" thickBot="1">
      <c r="A21" s="1348" t="s">
        <v>87</v>
      </c>
      <c r="B21" s="1349"/>
      <c r="C21" s="1422"/>
      <c r="D21" s="1423"/>
      <c r="E21" s="1423"/>
      <c r="F21" s="1423"/>
      <c r="G21" s="1423"/>
      <c r="H21" s="1423"/>
      <c r="I21" s="1423"/>
      <c r="J21" s="1423"/>
      <c r="K21" s="1423"/>
      <c r="L21" s="1423"/>
      <c r="M21" s="1423"/>
      <c r="N21" s="1423"/>
      <c r="O21" s="1423"/>
      <c r="P21" s="1423"/>
      <c r="Q21" s="1423"/>
      <c r="R21" s="1423"/>
      <c r="S21" s="1423"/>
      <c r="T21" s="1423"/>
      <c r="U21" s="1423"/>
      <c r="V21" s="1423"/>
      <c r="W21" s="1423"/>
      <c r="X21" s="1423"/>
      <c r="Y21" s="1424"/>
      <c r="Z21" s="75">
        <f>Z15+Z17+Z19</f>
        <v>2756083.6939185476</v>
      </c>
      <c r="AA21" s="76"/>
    </row>
    <row r="22" spans="1:27" hidden="1">
      <c r="A22" s="1350" t="s">
        <v>33</v>
      </c>
      <c r="B22" s="1353" t="s">
        <v>33</v>
      </c>
      <c r="C22" s="2" t="s">
        <v>19</v>
      </c>
      <c r="D22" s="2"/>
      <c r="E22" s="2">
        <v>7050</v>
      </c>
      <c r="F22" s="2"/>
      <c r="G22" s="2"/>
      <c r="H22" s="2"/>
      <c r="I22" s="2"/>
      <c r="J22" s="2"/>
      <c r="K22" s="2"/>
      <c r="L22" s="2"/>
      <c r="M22" s="2"/>
      <c r="N22" s="2"/>
      <c r="O22" s="2"/>
      <c r="P22" s="6"/>
      <c r="Q22" s="6"/>
      <c r="R22" s="6"/>
      <c r="S22" s="6"/>
      <c r="T22" s="6"/>
      <c r="U22" s="64"/>
      <c r="V22" s="65">
        <f>E22*'Pret unitar canal'!D8</f>
        <v>1079495.9999999998</v>
      </c>
      <c r="W22" s="65"/>
      <c r="X22" s="65"/>
      <c r="Y22" s="65"/>
      <c r="Z22" s="65">
        <f>V22+W22+X22+Y22</f>
        <v>1079495.9999999998</v>
      </c>
      <c r="AA22" s="72"/>
    </row>
    <row r="23" spans="1:27" ht="15.75" hidden="1" thickBot="1">
      <c r="A23" s="1352"/>
      <c r="B23" s="1356"/>
      <c r="C23" s="5" t="s">
        <v>20</v>
      </c>
      <c r="D23" s="5"/>
      <c r="E23" s="5"/>
      <c r="F23" s="5"/>
      <c r="G23" s="5"/>
      <c r="H23" s="5"/>
      <c r="I23" s="5"/>
      <c r="J23" s="5"/>
      <c r="K23" s="5"/>
      <c r="L23" s="5"/>
      <c r="M23" s="5"/>
      <c r="N23" s="5"/>
      <c r="O23" s="5"/>
      <c r="P23" s="9"/>
      <c r="Q23" s="9"/>
      <c r="R23" s="9"/>
      <c r="S23" s="9"/>
      <c r="T23" s="9"/>
      <c r="U23" s="69"/>
      <c r="V23" s="70">
        <v>0</v>
      </c>
      <c r="W23" s="70"/>
      <c r="X23" s="70"/>
      <c r="Y23" s="70"/>
      <c r="Z23" s="70"/>
      <c r="AA23" s="71">
        <f t="shared" si="0"/>
        <v>0</v>
      </c>
    </row>
    <row r="24" spans="1:27" ht="15.75" hidden="1" thickBot="1">
      <c r="A24" s="1348" t="s">
        <v>88</v>
      </c>
      <c r="B24" s="1349"/>
      <c r="C24" s="1422"/>
      <c r="D24" s="1423"/>
      <c r="E24" s="1423"/>
      <c r="F24" s="1423"/>
      <c r="G24" s="1423"/>
      <c r="H24" s="1423"/>
      <c r="I24" s="1423"/>
      <c r="J24" s="1423"/>
      <c r="K24" s="1423"/>
      <c r="L24" s="1423"/>
      <c r="M24" s="1423"/>
      <c r="N24" s="1423"/>
      <c r="O24" s="1423"/>
      <c r="P24" s="1423"/>
      <c r="Q24" s="1423"/>
      <c r="R24" s="1423"/>
      <c r="S24" s="1423"/>
      <c r="T24" s="1423"/>
      <c r="U24" s="1423"/>
      <c r="V24" s="1423"/>
      <c r="W24" s="1423"/>
      <c r="X24" s="1423"/>
      <c r="Y24" s="1424"/>
      <c r="Z24" s="75">
        <f>Z22</f>
        <v>1079495.9999999998</v>
      </c>
      <c r="AA24" s="76">
        <f>AA23</f>
        <v>0</v>
      </c>
    </row>
    <row r="25" spans="1:27" hidden="1">
      <c r="A25" s="1350" t="s">
        <v>34</v>
      </c>
      <c r="B25" s="1353" t="s">
        <v>34</v>
      </c>
      <c r="C25" s="2" t="s">
        <v>19</v>
      </c>
      <c r="D25" s="2"/>
      <c r="E25" s="2">
        <v>0</v>
      </c>
      <c r="F25" s="2"/>
      <c r="G25" s="2"/>
      <c r="H25" s="2"/>
      <c r="I25" s="2"/>
      <c r="J25" s="2"/>
      <c r="K25" s="2"/>
      <c r="L25" s="2"/>
      <c r="M25" s="2">
        <v>0</v>
      </c>
      <c r="N25" s="2"/>
      <c r="O25" s="2"/>
      <c r="P25" s="6"/>
      <c r="Q25" s="6"/>
      <c r="R25" s="6"/>
      <c r="S25" s="6">
        <v>0</v>
      </c>
      <c r="T25" s="6"/>
      <c r="U25" s="64"/>
      <c r="V25" s="65">
        <f>E25*'Pret unitar canal'!D8+CANAL!M25*'Pret unitar apa'!I12</f>
        <v>0</v>
      </c>
      <c r="W25" s="65">
        <f>S25*15000</f>
        <v>0</v>
      </c>
      <c r="X25" s="65"/>
      <c r="Y25" s="65"/>
      <c r="Z25" s="65">
        <f>V25+W25+X25+Y25</f>
        <v>0</v>
      </c>
      <c r="AA25" s="72"/>
    </row>
    <row r="26" spans="1:27" hidden="1">
      <c r="A26" s="1351"/>
      <c r="B26" s="1354"/>
      <c r="C26" s="4" t="s">
        <v>20</v>
      </c>
      <c r="D26" s="4"/>
      <c r="E26" s="4"/>
      <c r="F26" s="4"/>
      <c r="G26" s="4"/>
      <c r="H26" s="4"/>
      <c r="I26" s="4"/>
      <c r="J26" s="4"/>
      <c r="K26" s="4"/>
      <c r="L26" s="4"/>
      <c r="M26" s="4"/>
      <c r="N26" s="4"/>
      <c r="O26" s="4"/>
      <c r="P26" s="4"/>
      <c r="Q26" s="4"/>
      <c r="R26" s="4"/>
      <c r="S26" s="4"/>
      <c r="T26" s="7"/>
      <c r="U26" s="49"/>
      <c r="V26" s="50">
        <v>0</v>
      </c>
      <c r="W26" s="50"/>
      <c r="X26" s="50"/>
      <c r="Y26" s="50"/>
      <c r="Z26" s="50"/>
      <c r="AA26" s="67">
        <f t="shared" si="0"/>
        <v>0</v>
      </c>
    </row>
    <row r="27" spans="1:27" hidden="1">
      <c r="A27" s="1351"/>
      <c r="B27" s="1355" t="s">
        <v>35</v>
      </c>
      <c r="C27" s="3" t="s">
        <v>19</v>
      </c>
      <c r="D27" s="3"/>
      <c r="E27" s="3">
        <v>0</v>
      </c>
      <c r="F27" s="3"/>
      <c r="G27" s="3"/>
      <c r="H27" s="3"/>
      <c r="I27" s="3"/>
      <c r="J27" s="3"/>
      <c r="K27" s="3"/>
      <c r="L27" s="3"/>
      <c r="M27" s="3">
        <v>0</v>
      </c>
      <c r="N27" s="3"/>
      <c r="O27" s="3"/>
      <c r="P27" s="3"/>
      <c r="Q27" s="3"/>
      <c r="R27" s="3"/>
      <c r="S27" s="3">
        <v>0</v>
      </c>
      <c r="T27" s="17"/>
      <c r="U27" s="49"/>
      <c r="V27" s="50">
        <f>E27*'Pret unitar canal'!D8+CANAL!M27*'Pret unitar apa'!I12</f>
        <v>0</v>
      </c>
      <c r="W27" s="50">
        <f>S27*15000</f>
        <v>0</v>
      </c>
      <c r="X27" s="50"/>
      <c r="Y27" s="50"/>
      <c r="Z27" s="50">
        <f>V27+W27+X27+Y27</f>
        <v>0</v>
      </c>
      <c r="AA27" s="67"/>
    </row>
    <row r="28" spans="1:27" hidden="1">
      <c r="A28" s="1351"/>
      <c r="B28" s="1354"/>
      <c r="C28" s="4" t="s">
        <v>20</v>
      </c>
      <c r="D28" s="4"/>
      <c r="E28" s="4"/>
      <c r="F28" s="4"/>
      <c r="G28" s="4"/>
      <c r="H28" s="4"/>
      <c r="I28" s="4"/>
      <c r="J28" s="4"/>
      <c r="K28" s="4"/>
      <c r="L28" s="4"/>
      <c r="M28" s="4"/>
      <c r="N28" s="4"/>
      <c r="O28" s="4"/>
      <c r="P28" s="4"/>
      <c r="Q28" s="4"/>
      <c r="R28" s="4"/>
      <c r="S28" s="4"/>
      <c r="T28" s="7"/>
      <c r="U28" s="49"/>
      <c r="V28" s="50">
        <v>0</v>
      </c>
      <c r="W28" s="50"/>
      <c r="X28" s="50"/>
      <c r="Y28" s="50"/>
      <c r="Z28" s="50"/>
      <c r="AA28" s="67">
        <f t="shared" si="0"/>
        <v>0</v>
      </c>
    </row>
    <row r="29" spans="1:27" hidden="1">
      <c r="A29" s="1351"/>
      <c r="B29" s="1355" t="s">
        <v>36</v>
      </c>
      <c r="C29" s="3" t="s">
        <v>19</v>
      </c>
      <c r="D29" s="3"/>
      <c r="E29" s="3">
        <v>0</v>
      </c>
      <c r="F29" s="3"/>
      <c r="G29" s="3"/>
      <c r="H29" s="3"/>
      <c r="I29" s="3"/>
      <c r="J29" s="3"/>
      <c r="K29" s="3"/>
      <c r="L29" s="3"/>
      <c r="M29" s="3">
        <v>0</v>
      </c>
      <c r="N29" s="3"/>
      <c r="O29" s="3"/>
      <c r="P29" s="3"/>
      <c r="Q29" s="3"/>
      <c r="R29" s="3"/>
      <c r="S29" s="3">
        <v>0</v>
      </c>
      <c r="T29" s="17"/>
      <c r="U29" s="49"/>
      <c r="V29" s="50">
        <f>E29*'Pret unitar canal'!D8+CANAL!M29*'Pret unitar apa'!I12</f>
        <v>0</v>
      </c>
      <c r="W29" s="50">
        <f>S29*15000</f>
        <v>0</v>
      </c>
      <c r="X29" s="50"/>
      <c r="Y29" s="50"/>
      <c r="Z29" s="50">
        <f>V29+W29+X29+Y29</f>
        <v>0</v>
      </c>
      <c r="AA29" s="67"/>
    </row>
    <row r="30" spans="1:27" hidden="1">
      <c r="A30" s="1351"/>
      <c r="B30" s="1354"/>
      <c r="C30" s="4" t="s">
        <v>20</v>
      </c>
      <c r="D30" s="4"/>
      <c r="E30" s="4"/>
      <c r="F30" s="4"/>
      <c r="G30" s="4"/>
      <c r="H30" s="4"/>
      <c r="I30" s="4"/>
      <c r="J30" s="4"/>
      <c r="K30" s="4"/>
      <c r="L30" s="4"/>
      <c r="M30" s="4"/>
      <c r="N30" s="4"/>
      <c r="O30" s="4"/>
      <c r="P30" s="4"/>
      <c r="Q30" s="4"/>
      <c r="R30" s="4"/>
      <c r="S30" s="4"/>
      <c r="T30" s="7"/>
      <c r="U30" s="49"/>
      <c r="V30" s="50">
        <v>0</v>
      </c>
      <c r="W30" s="50"/>
      <c r="X30" s="50"/>
      <c r="Y30" s="50"/>
      <c r="Z30" s="50"/>
      <c r="AA30" s="67">
        <f t="shared" si="0"/>
        <v>0</v>
      </c>
    </row>
    <row r="31" spans="1:27" hidden="1">
      <c r="A31" s="1351"/>
      <c r="B31" s="1355" t="s">
        <v>39</v>
      </c>
      <c r="C31" s="3" t="s">
        <v>19</v>
      </c>
      <c r="D31" s="3"/>
      <c r="E31" s="3">
        <v>0</v>
      </c>
      <c r="F31" s="3">
        <v>0</v>
      </c>
      <c r="G31" s="3"/>
      <c r="H31" s="3"/>
      <c r="I31" s="3"/>
      <c r="J31" s="3"/>
      <c r="K31" s="3"/>
      <c r="L31" s="3"/>
      <c r="M31" s="3">
        <v>0</v>
      </c>
      <c r="N31" s="3"/>
      <c r="O31" s="3"/>
      <c r="P31" s="3"/>
      <c r="Q31" s="3"/>
      <c r="R31" s="3"/>
      <c r="S31" s="3">
        <v>0</v>
      </c>
      <c r="T31" s="17">
        <v>0</v>
      </c>
      <c r="U31" s="49"/>
      <c r="V31" s="50">
        <f>E31*'Pret unitar canal'!D8+CANAL!F31*'Pret unitar canal'!G9+CANAL!M31*'Pret unitar apa'!I12</f>
        <v>0</v>
      </c>
      <c r="W31" s="50">
        <f>S31*15000</f>
        <v>0</v>
      </c>
      <c r="X31" s="50">
        <f>T31*'Pret statii de epurare'!D12</f>
        <v>0</v>
      </c>
      <c r="Y31" s="50"/>
      <c r="Z31" s="50">
        <f>V31+W31+X31+Y31</f>
        <v>0</v>
      </c>
      <c r="AA31" s="67"/>
    </row>
    <row r="32" spans="1:27" hidden="1">
      <c r="A32" s="1351"/>
      <c r="B32" s="1354"/>
      <c r="C32" s="4" t="s">
        <v>20</v>
      </c>
      <c r="D32" s="4"/>
      <c r="E32" s="4"/>
      <c r="F32" s="4"/>
      <c r="G32" s="4"/>
      <c r="H32" s="4"/>
      <c r="I32" s="4"/>
      <c r="J32" s="4"/>
      <c r="K32" s="4"/>
      <c r="L32" s="4"/>
      <c r="M32" s="4"/>
      <c r="N32" s="4"/>
      <c r="O32" s="4"/>
      <c r="P32" s="4"/>
      <c r="Q32" s="4"/>
      <c r="R32" s="4"/>
      <c r="S32" s="4"/>
      <c r="T32" s="7"/>
      <c r="U32" s="49"/>
      <c r="V32" s="50">
        <v>0</v>
      </c>
      <c r="W32" s="50"/>
      <c r="X32" s="50"/>
      <c r="Y32" s="50"/>
      <c r="Z32" s="50"/>
      <c r="AA32" s="67">
        <f t="shared" si="0"/>
        <v>0</v>
      </c>
    </row>
    <row r="33" spans="1:27" hidden="1">
      <c r="A33" s="1351"/>
      <c r="B33" s="1355" t="s">
        <v>37</v>
      </c>
      <c r="C33" s="3" t="s">
        <v>19</v>
      </c>
      <c r="D33" s="3"/>
      <c r="E33" s="3">
        <v>0</v>
      </c>
      <c r="F33" s="3">
        <v>0</v>
      </c>
      <c r="G33" s="3"/>
      <c r="H33" s="3"/>
      <c r="I33" s="3"/>
      <c r="J33" s="3"/>
      <c r="K33" s="3"/>
      <c r="L33" s="3"/>
      <c r="M33" s="3">
        <v>0</v>
      </c>
      <c r="N33" s="3"/>
      <c r="O33" s="3"/>
      <c r="P33" s="3"/>
      <c r="Q33" s="3"/>
      <c r="R33" s="3"/>
      <c r="S33" s="3">
        <v>0</v>
      </c>
      <c r="T33" s="17"/>
      <c r="U33" s="49"/>
      <c r="V33" s="50">
        <f>E33*'Pret unitar canal'!D8+CANAL!F33*'Pret unitar canal'!D9+CANAL!M33*'Pret unitar apa'!I12</f>
        <v>0</v>
      </c>
      <c r="W33" s="50">
        <f>S33*15000</f>
        <v>0</v>
      </c>
      <c r="X33" s="50"/>
      <c r="Y33" s="50"/>
      <c r="Z33" s="50">
        <f>V33+W33+X33+Y33</f>
        <v>0</v>
      </c>
      <c r="AA33" s="67"/>
    </row>
    <row r="34" spans="1:27" hidden="1">
      <c r="A34" s="1351"/>
      <c r="B34" s="1354"/>
      <c r="C34" s="4" t="s">
        <v>20</v>
      </c>
      <c r="D34" s="4"/>
      <c r="E34" s="4"/>
      <c r="F34" s="4"/>
      <c r="G34" s="4"/>
      <c r="H34" s="4"/>
      <c r="I34" s="4"/>
      <c r="J34" s="4"/>
      <c r="K34" s="4"/>
      <c r="L34" s="4"/>
      <c r="M34" s="4"/>
      <c r="N34" s="4"/>
      <c r="O34" s="4"/>
      <c r="P34" s="4"/>
      <c r="Q34" s="4"/>
      <c r="R34" s="4"/>
      <c r="S34" s="4"/>
      <c r="T34" s="7"/>
      <c r="U34" s="49"/>
      <c r="V34" s="50">
        <v>0</v>
      </c>
      <c r="W34" s="50"/>
      <c r="X34" s="50"/>
      <c r="Y34" s="50"/>
      <c r="Z34" s="50"/>
      <c r="AA34" s="67">
        <f t="shared" si="0"/>
        <v>0</v>
      </c>
    </row>
    <row r="35" spans="1:27" hidden="1">
      <c r="A35" s="1351"/>
      <c r="B35" s="1355" t="s">
        <v>38</v>
      </c>
      <c r="C35" s="3" t="s">
        <v>19</v>
      </c>
      <c r="D35" s="3"/>
      <c r="E35" s="3">
        <v>0</v>
      </c>
      <c r="F35" s="3"/>
      <c r="G35" s="3"/>
      <c r="H35" s="3"/>
      <c r="I35" s="3"/>
      <c r="J35" s="3"/>
      <c r="K35" s="3"/>
      <c r="L35" s="3"/>
      <c r="M35" s="3">
        <v>0</v>
      </c>
      <c r="N35" s="3"/>
      <c r="O35" s="3"/>
      <c r="P35" s="3"/>
      <c r="Q35" s="3"/>
      <c r="R35" s="3"/>
      <c r="S35" s="3">
        <v>0</v>
      </c>
      <c r="T35" s="17"/>
      <c r="U35" s="49"/>
      <c r="V35" s="50">
        <f>E35*'Pret unitar canal'!D8+CANAL!M35*'Pret unitar apa'!I12</f>
        <v>0</v>
      </c>
      <c r="W35" s="50">
        <f>S35*15000</f>
        <v>0</v>
      </c>
      <c r="X35" s="50"/>
      <c r="Y35" s="50"/>
      <c r="Z35" s="50">
        <f>V35+W35+X35+Y35</f>
        <v>0</v>
      </c>
      <c r="AA35" s="67"/>
    </row>
    <row r="36" spans="1:27" ht="15.75" hidden="1" thickBot="1">
      <c r="A36" s="1352"/>
      <c r="B36" s="1356"/>
      <c r="C36" s="5" t="s">
        <v>20</v>
      </c>
      <c r="D36" s="5"/>
      <c r="E36" s="5"/>
      <c r="F36" s="5"/>
      <c r="G36" s="5"/>
      <c r="H36" s="5"/>
      <c r="I36" s="5"/>
      <c r="J36" s="5"/>
      <c r="K36" s="5"/>
      <c r="L36" s="5"/>
      <c r="M36" s="5"/>
      <c r="N36" s="5"/>
      <c r="O36" s="5"/>
      <c r="P36" s="9"/>
      <c r="Q36" s="9"/>
      <c r="R36" s="9"/>
      <c r="S36" s="9"/>
      <c r="T36" s="9"/>
      <c r="U36" s="69"/>
      <c r="V36" s="70">
        <v>0</v>
      </c>
      <c r="W36" s="70"/>
      <c r="X36" s="70"/>
      <c r="Y36" s="70"/>
      <c r="Z36" s="70"/>
      <c r="AA36" s="71">
        <f t="shared" si="0"/>
        <v>0</v>
      </c>
    </row>
    <row r="37" spans="1:27" ht="15.75" hidden="1" thickBot="1">
      <c r="A37" s="1348" t="s">
        <v>89</v>
      </c>
      <c r="B37" s="1349"/>
      <c r="C37" s="1422"/>
      <c r="D37" s="1423"/>
      <c r="E37" s="1423"/>
      <c r="F37" s="1423"/>
      <c r="G37" s="1423"/>
      <c r="H37" s="1423"/>
      <c r="I37" s="1423"/>
      <c r="J37" s="1423"/>
      <c r="K37" s="1423"/>
      <c r="L37" s="1423"/>
      <c r="M37" s="1423"/>
      <c r="N37" s="1423"/>
      <c r="O37" s="1423"/>
      <c r="P37" s="1423"/>
      <c r="Q37" s="1423"/>
      <c r="R37" s="1423"/>
      <c r="S37" s="1423"/>
      <c r="T37" s="1423"/>
      <c r="U37" s="1423"/>
      <c r="V37" s="1423"/>
      <c r="W37" s="1423"/>
      <c r="X37" s="1423"/>
      <c r="Y37" s="1424"/>
      <c r="Z37" s="75">
        <f>Z25+Z27+Z29+Z31+Z33+Z35</f>
        <v>0</v>
      </c>
      <c r="AA37" s="76">
        <f>AA26+AA28+AA30+AA32+AA34+AA36</f>
        <v>0</v>
      </c>
    </row>
    <row r="38" spans="1:27" hidden="1">
      <c r="A38" s="1350" t="s">
        <v>42</v>
      </c>
      <c r="B38" s="1353" t="s">
        <v>42</v>
      </c>
      <c r="C38" s="2" t="s">
        <v>19</v>
      </c>
      <c r="D38" s="2"/>
      <c r="E38" s="2">
        <v>5400</v>
      </c>
      <c r="F38" s="2"/>
      <c r="G38" s="2"/>
      <c r="H38" s="2"/>
      <c r="I38" s="2"/>
      <c r="J38" s="2"/>
      <c r="K38" s="2"/>
      <c r="L38" s="2"/>
      <c r="M38" s="2">
        <v>1700</v>
      </c>
      <c r="N38" s="2"/>
      <c r="O38" s="2"/>
      <c r="P38" s="2"/>
      <c r="Q38" s="2"/>
      <c r="R38" s="2"/>
      <c r="S38" s="2">
        <v>10</v>
      </c>
      <c r="T38" s="6"/>
      <c r="U38" s="64"/>
      <c r="V38" s="65">
        <f>E38*'Pret unitar canal'!D8+CANAL!M38*'Pret unitar apa'!I12</f>
        <v>937516.50697159988</v>
      </c>
      <c r="W38" s="65">
        <f>S38*15000</f>
        <v>150000</v>
      </c>
      <c r="X38" s="65"/>
      <c r="Y38" s="65"/>
      <c r="Z38" s="65">
        <f>V38+W38+X38+Y38</f>
        <v>1087516.5069716</v>
      </c>
      <c r="AA38" s="72"/>
    </row>
    <row r="39" spans="1:27" hidden="1">
      <c r="A39" s="1351"/>
      <c r="B39" s="1354"/>
      <c r="C39" s="4" t="s">
        <v>20</v>
      </c>
      <c r="D39" s="4"/>
      <c r="E39" s="4"/>
      <c r="F39" s="4"/>
      <c r="G39" s="4"/>
      <c r="H39" s="4"/>
      <c r="I39" s="4"/>
      <c r="J39" s="4"/>
      <c r="K39" s="4"/>
      <c r="L39" s="4"/>
      <c r="M39" s="4"/>
      <c r="N39" s="4"/>
      <c r="O39" s="4"/>
      <c r="P39" s="4"/>
      <c r="Q39" s="4"/>
      <c r="R39" s="4"/>
      <c r="S39" s="4"/>
      <c r="T39" s="7"/>
      <c r="U39" s="49"/>
      <c r="V39" s="50">
        <v>0</v>
      </c>
      <c r="W39" s="50"/>
      <c r="X39" s="50"/>
      <c r="Y39" s="50"/>
      <c r="Z39" s="50"/>
      <c r="AA39" s="67">
        <f t="shared" si="0"/>
        <v>0</v>
      </c>
    </row>
    <row r="40" spans="1:27" hidden="1">
      <c r="A40" s="1351"/>
      <c r="B40" s="1355" t="s">
        <v>43</v>
      </c>
      <c r="C40" s="3" t="s">
        <v>19</v>
      </c>
      <c r="D40" s="3"/>
      <c r="E40" s="3">
        <v>13700</v>
      </c>
      <c r="F40" s="3"/>
      <c r="G40" s="3"/>
      <c r="H40" s="3"/>
      <c r="I40" s="3"/>
      <c r="J40" s="3"/>
      <c r="K40" s="3"/>
      <c r="L40" s="3"/>
      <c r="M40" s="3">
        <v>250</v>
      </c>
      <c r="N40" s="3"/>
      <c r="O40" s="3"/>
      <c r="P40" s="3"/>
      <c r="Q40" s="3"/>
      <c r="R40" s="3"/>
      <c r="S40" s="3">
        <v>3</v>
      </c>
      <c r="T40" s="17"/>
      <c r="U40" s="49"/>
      <c r="V40" s="50">
        <f>E40*'Pret unitar canal'!D8+CANAL!M40*'Pret unitar apa'!I12</f>
        <v>2114018.7804369996</v>
      </c>
      <c r="W40" s="50">
        <f>S40*15000</f>
        <v>45000</v>
      </c>
      <c r="X40" s="50"/>
      <c r="Y40" s="50"/>
      <c r="Z40" s="50">
        <f>V40+W40+X40+Y40</f>
        <v>2159018.7804369996</v>
      </c>
      <c r="AA40" s="67"/>
    </row>
    <row r="41" spans="1:27" ht="15.75" hidden="1" thickBot="1">
      <c r="A41" s="1352"/>
      <c r="B41" s="1356"/>
      <c r="C41" s="5" t="s">
        <v>20</v>
      </c>
      <c r="D41" s="5"/>
      <c r="E41" s="5"/>
      <c r="F41" s="5"/>
      <c r="G41" s="5"/>
      <c r="H41" s="5"/>
      <c r="I41" s="5"/>
      <c r="J41" s="5"/>
      <c r="K41" s="5"/>
      <c r="L41" s="5"/>
      <c r="M41" s="5"/>
      <c r="N41" s="5"/>
      <c r="O41" s="5"/>
      <c r="P41" s="5"/>
      <c r="Q41" s="5"/>
      <c r="R41" s="5"/>
      <c r="S41" s="5"/>
      <c r="T41" s="9"/>
      <c r="U41" s="69"/>
      <c r="V41" s="70"/>
      <c r="W41" s="70"/>
      <c r="X41" s="70"/>
      <c r="Y41" s="70"/>
      <c r="Z41" s="69"/>
      <c r="AA41" s="71">
        <f t="shared" si="0"/>
        <v>0</v>
      </c>
    </row>
    <row r="42" spans="1:27" ht="15.75" hidden="1" thickBot="1">
      <c r="A42" s="1348" t="s">
        <v>90</v>
      </c>
      <c r="B42" s="1349"/>
      <c r="C42" s="1433"/>
      <c r="D42" s="1434"/>
      <c r="E42" s="1434"/>
      <c r="F42" s="1434"/>
      <c r="G42" s="1434"/>
      <c r="H42" s="1434"/>
      <c r="I42" s="1434"/>
      <c r="J42" s="1434"/>
      <c r="K42" s="1434"/>
      <c r="L42" s="1434"/>
      <c r="M42" s="1434"/>
      <c r="N42" s="1434"/>
      <c r="O42" s="1434"/>
      <c r="P42" s="1434"/>
      <c r="Q42" s="1434"/>
      <c r="R42" s="1434"/>
      <c r="S42" s="1434"/>
      <c r="T42" s="1434"/>
      <c r="U42" s="1434"/>
      <c r="V42" s="1434"/>
      <c r="W42" s="1434"/>
      <c r="X42" s="1434"/>
      <c r="Y42" s="1349"/>
      <c r="Z42" s="75">
        <f>Z38+Z40</f>
        <v>3246535.2874085996</v>
      </c>
      <c r="AA42" s="76">
        <f>AA39+AA41</f>
        <v>0</v>
      </c>
    </row>
    <row r="43" spans="1:27" hidden="1">
      <c r="A43" s="1350" t="s">
        <v>103</v>
      </c>
      <c r="B43" s="1353" t="s">
        <v>103</v>
      </c>
      <c r="C43" s="156" t="s">
        <v>19</v>
      </c>
      <c r="D43" s="2"/>
      <c r="E43" s="2">
        <v>8500</v>
      </c>
      <c r="F43" s="2">
        <v>17200</v>
      </c>
      <c r="G43" s="2"/>
      <c r="H43" s="2"/>
      <c r="I43" s="2"/>
      <c r="J43" s="2"/>
      <c r="K43" s="2"/>
      <c r="L43" s="2"/>
      <c r="M43" s="2">
        <v>700</v>
      </c>
      <c r="N43" s="2"/>
      <c r="O43" s="2"/>
      <c r="P43" s="2"/>
      <c r="Q43" s="2"/>
      <c r="R43" s="2"/>
      <c r="S43" s="6">
        <v>5</v>
      </c>
      <c r="T43" s="6"/>
      <c r="U43" s="64"/>
      <c r="V43" s="65"/>
      <c r="W43" s="65"/>
      <c r="X43" s="65"/>
      <c r="Y43" s="65"/>
      <c r="Z43" s="64"/>
      <c r="AA43" s="72">
        <f t="shared" si="0"/>
        <v>0</v>
      </c>
    </row>
    <row r="44" spans="1:27" ht="15.75" hidden="1" thickBot="1">
      <c r="A44" s="1352"/>
      <c r="B44" s="1356"/>
      <c r="C44" s="120" t="s">
        <v>20</v>
      </c>
      <c r="D44" s="5">
        <v>500</v>
      </c>
      <c r="E44" s="5">
        <v>3200</v>
      </c>
      <c r="F44" s="5">
        <v>42500</v>
      </c>
      <c r="G44" s="5"/>
      <c r="H44" s="5">
        <v>3850</v>
      </c>
      <c r="I44" s="5">
        <v>0</v>
      </c>
      <c r="J44" s="5"/>
      <c r="K44" s="5"/>
      <c r="L44" s="5"/>
      <c r="M44" s="5"/>
      <c r="N44" s="5"/>
      <c r="O44" s="5"/>
      <c r="P44" s="5"/>
      <c r="Q44" s="5"/>
      <c r="R44" s="5"/>
      <c r="S44" s="9"/>
      <c r="T44" s="9"/>
      <c r="U44" s="69"/>
      <c r="V44" s="70"/>
      <c r="W44" s="70"/>
      <c r="X44" s="70"/>
      <c r="Y44" s="70"/>
      <c r="Z44" s="69"/>
      <c r="AA44" s="71">
        <f t="shared" si="0"/>
        <v>0</v>
      </c>
    </row>
    <row r="45" spans="1:27" hidden="1">
      <c r="A45" s="1428" t="s">
        <v>107</v>
      </c>
      <c r="B45" s="1429"/>
      <c r="C45" s="1405"/>
      <c r="D45" s="1430"/>
      <c r="E45" s="1430"/>
      <c r="F45" s="1430"/>
      <c r="G45" s="1430"/>
      <c r="H45" s="1430"/>
      <c r="I45" s="1430"/>
      <c r="J45" s="1430"/>
      <c r="K45" s="1430"/>
      <c r="L45" s="1430"/>
      <c r="M45" s="1430"/>
      <c r="N45" s="1430"/>
      <c r="O45" s="1430"/>
      <c r="P45" s="1430"/>
      <c r="Q45" s="1430"/>
      <c r="R45" s="1430"/>
      <c r="S45" s="1430"/>
      <c r="T45" s="1430"/>
      <c r="U45" s="1430"/>
      <c r="V45" s="1430"/>
      <c r="W45" s="1430"/>
      <c r="X45" s="1430"/>
      <c r="Y45" s="1429"/>
      <c r="Z45" s="152"/>
      <c r="AA45" s="145">
        <f t="shared" si="0"/>
        <v>0</v>
      </c>
    </row>
    <row r="46" spans="1:27">
      <c r="A46" s="1361" t="s">
        <v>151</v>
      </c>
      <c r="B46" s="1387" t="s">
        <v>148</v>
      </c>
      <c r="C46" s="157" t="s">
        <v>19</v>
      </c>
      <c r="D46" s="3"/>
      <c r="E46" s="3">
        <v>9800</v>
      </c>
      <c r="F46" s="3"/>
      <c r="G46" s="3"/>
      <c r="H46" s="3"/>
      <c r="I46" s="3"/>
      <c r="J46" s="3"/>
      <c r="K46" s="3"/>
      <c r="L46" s="3"/>
      <c r="M46" s="3">
        <v>800</v>
      </c>
      <c r="N46" s="3"/>
      <c r="O46" s="3"/>
      <c r="P46" s="3"/>
      <c r="Q46" s="3"/>
      <c r="R46" s="3"/>
      <c r="S46" s="3">
        <v>6</v>
      </c>
      <c r="T46" s="3"/>
      <c r="U46" s="49"/>
      <c r="V46" s="50"/>
      <c r="W46" s="50"/>
      <c r="X46" s="50"/>
      <c r="Y46" s="50"/>
      <c r="Z46" s="144">
        <v>2880000</v>
      </c>
      <c r="AA46" s="50">
        <f t="shared" si="0"/>
        <v>0</v>
      </c>
    </row>
    <row r="47" spans="1:27">
      <c r="A47" s="1361"/>
      <c r="B47" s="1387"/>
      <c r="C47" s="158" t="s">
        <v>20</v>
      </c>
      <c r="D47" s="4"/>
      <c r="E47" s="4"/>
      <c r="F47" s="4"/>
      <c r="G47" s="4"/>
      <c r="H47" s="4"/>
      <c r="I47" s="4"/>
      <c r="J47" s="4"/>
      <c r="K47" s="4"/>
      <c r="L47" s="4"/>
      <c r="M47" s="4"/>
      <c r="N47" s="4"/>
      <c r="O47" s="4"/>
      <c r="P47" s="4"/>
      <c r="Q47" s="4"/>
      <c r="R47" s="4"/>
      <c r="S47" s="4"/>
      <c r="T47" s="4"/>
      <c r="U47" s="49"/>
      <c r="V47" s="50"/>
      <c r="W47" s="50"/>
      <c r="X47" s="50"/>
      <c r="Y47" s="50"/>
      <c r="Z47" s="50"/>
      <c r="AA47" s="50">
        <f t="shared" si="0"/>
        <v>0</v>
      </c>
    </row>
    <row r="48" spans="1:27">
      <c r="A48" s="1361"/>
      <c r="B48" s="1387" t="s">
        <v>150</v>
      </c>
      <c r="C48" s="157" t="s">
        <v>19</v>
      </c>
      <c r="D48" s="3"/>
      <c r="E48" s="3">
        <v>5300</v>
      </c>
      <c r="F48" s="3"/>
      <c r="G48" s="3"/>
      <c r="H48" s="3"/>
      <c r="I48" s="3"/>
      <c r="J48" s="3"/>
      <c r="K48" s="3"/>
      <c r="L48" s="3"/>
      <c r="M48" s="3"/>
      <c r="N48" s="3"/>
      <c r="O48" s="3"/>
      <c r="P48" s="3"/>
      <c r="Q48" s="3"/>
      <c r="R48" s="3"/>
      <c r="S48" s="3"/>
      <c r="T48" s="3"/>
      <c r="U48" s="49"/>
      <c r="V48" s="50"/>
      <c r="W48" s="50"/>
      <c r="X48" s="50"/>
      <c r="Y48" s="50"/>
      <c r="Z48" s="144">
        <v>900000</v>
      </c>
      <c r="AA48" s="50">
        <f t="shared" si="0"/>
        <v>0</v>
      </c>
    </row>
    <row r="49" spans="1:27">
      <c r="A49" s="1361"/>
      <c r="B49" s="1387"/>
      <c r="C49" s="158" t="s">
        <v>20</v>
      </c>
      <c r="D49" s="4"/>
      <c r="E49" s="4"/>
      <c r="F49" s="4"/>
      <c r="G49" s="4"/>
      <c r="H49" s="4"/>
      <c r="I49" s="4"/>
      <c r="J49" s="4"/>
      <c r="K49" s="4"/>
      <c r="L49" s="4"/>
      <c r="M49" s="4"/>
      <c r="N49" s="4"/>
      <c r="O49" s="4"/>
      <c r="P49" s="4"/>
      <c r="Q49" s="4"/>
      <c r="R49" s="4"/>
      <c r="S49" s="4"/>
      <c r="T49" s="4"/>
      <c r="U49" s="49"/>
      <c r="V49" s="50"/>
      <c r="W49" s="50"/>
      <c r="X49" s="50"/>
      <c r="Y49" s="50"/>
      <c r="Z49" s="50"/>
      <c r="AA49" s="50">
        <f t="shared" si="0"/>
        <v>0</v>
      </c>
    </row>
    <row r="50" spans="1:27">
      <c r="A50" s="1361"/>
      <c r="B50" s="1387" t="s">
        <v>149</v>
      </c>
      <c r="C50" s="157" t="s">
        <v>19</v>
      </c>
      <c r="D50" s="3"/>
      <c r="E50" s="3"/>
      <c r="F50" s="3"/>
      <c r="G50" s="3"/>
      <c r="H50" s="3"/>
      <c r="I50" s="3"/>
      <c r="J50" s="3"/>
      <c r="K50" s="3"/>
      <c r="L50" s="3"/>
      <c r="M50" s="3"/>
      <c r="N50" s="3"/>
      <c r="O50" s="3"/>
      <c r="P50" s="3"/>
      <c r="Q50" s="3"/>
      <c r="R50" s="3"/>
      <c r="S50" s="3"/>
      <c r="T50" s="3"/>
      <c r="U50" s="49"/>
      <c r="V50" s="50"/>
      <c r="W50" s="50"/>
      <c r="X50" s="50"/>
      <c r="Y50" s="50"/>
      <c r="Z50" s="50"/>
      <c r="AA50" s="50">
        <f t="shared" si="0"/>
        <v>0</v>
      </c>
    </row>
    <row r="51" spans="1:27">
      <c r="A51" s="1361"/>
      <c r="B51" s="1387"/>
      <c r="C51" s="158" t="s">
        <v>20</v>
      </c>
      <c r="D51" s="4"/>
      <c r="E51" s="4"/>
      <c r="F51" s="4"/>
      <c r="G51" s="4"/>
      <c r="H51" s="4"/>
      <c r="I51" s="4"/>
      <c r="J51" s="4"/>
      <c r="K51" s="4"/>
      <c r="L51" s="4"/>
      <c r="M51" s="4"/>
      <c r="N51" s="4"/>
      <c r="O51" s="4"/>
      <c r="P51" s="4"/>
      <c r="Q51" s="4"/>
      <c r="R51" s="4"/>
      <c r="S51" s="4"/>
      <c r="T51" s="4"/>
      <c r="U51" s="49"/>
      <c r="V51" s="50"/>
      <c r="W51" s="50"/>
      <c r="X51" s="50"/>
      <c r="Y51" s="50"/>
      <c r="Z51" s="50"/>
      <c r="AA51" s="50">
        <f t="shared" si="0"/>
        <v>0</v>
      </c>
    </row>
    <row r="52" spans="1:27" ht="15.75" thickBot="1">
      <c r="A52" s="1438" t="s">
        <v>157</v>
      </c>
      <c r="B52" s="1438"/>
      <c r="C52" s="1435"/>
      <c r="D52" s="1436"/>
      <c r="E52" s="1436"/>
      <c r="F52" s="1436"/>
      <c r="G52" s="1436"/>
      <c r="H52" s="1436"/>
      <c r="I52" s="1436"/>
      <c r="J52" s="1436"/>
      <c r="K52" s="1436"/>
      <c r="L52" s="1436"/>
      <c r="M52" s="1436"/>
      <c r="N52" s="1436"/>
      <c r="O52" s="1436"/>
      <c r="P52" s="1436"/>
      <c r="Q52" s="1436"/>
      <c r="R52" s="1436"/>
      <c r="S52" s="1436"/>
      <c r="T52" s="1436"/>
      <c r="U52" s="1436"/>
      <c r="V52" s="1436"/>
      <c r="W52" s="1436"/>
      <c r="X52" s="1436"/>
      <c r="Y52" s="1437"/>
      <c r="Z52" s="153">
        <f>Z46+Z48+Z50</f>
        <v>3780000</v>
      </c>
      <c r="AA52" s="153">
        <f>AA47+AA49+AA51</f>
        <v>0</v>
      </c>
    </row>
    <row r="53" spans="1:27">
      <c r="A53" s="1357" t="s">
        <v>152</v>
      </c>
      <c r="B53" s="1386" t="s">
        <v>153</v>
      </c>
      <c r="C53" s="156" t="s">
        <v>19</v>
      </c>
      <c r="D53" s="243"/>
      <c r="E53" s="247">
        <v>1250</v>
      </c>
      <c r="F53" s="243"/>
      <c r="G53" s="243"/>
      <c r="H53" s="243"/>
      <c r="I53" s="243"/>
      <c r="J53" s="243"/>
      <c r="K53" s="243"/>
      <c r="L53" s="243"/>
      <c r="M53" s="243"/>
      <c r="N53" s="243"/>
      <c r="O53" s="243"/>
      <c r="P53" s="243"/>
      <c r="Q53" s="243"/>
      <c r="R53" s="243"/>
      <c r="S53" s="2"/>
      <c r="T53" s="2"/>
      <c r="U53" s="64"/>
      <c r="V53" s="64"/>
      <c r="W53" s="64"/>
      <c r="X53" s="64"/>
      <c r="Y53" s="64"/>
      <c r="Z53" s="65"/>
      <c r="AA53" s="72"/>
    </row>
    <row r="54" spans="1:27">
      <c r="A54" s="1358"/>
      <c r="B54" s="1387"/>
      <c r="C54" s="158" t="s">
        <v>20</v>
      </c>
      <c r="D54" s="244"/>
      <c r="E54" s="244"/>
      <c r="F54" s="244"/>
      <c r="G54" s="244"/>
      <c r="H54" s="244"/>
      <c r="I54" s="244"/>
      <c r="J54" s="244"/>
      <c r="K54" s="244"/>
      <c r="L54" s="244"/>
      <c r="M54" s="244"/>
      <c r="N54" s="244"/>
      <c r="O54" s="244"/>
      <c r="P54" s="244"/>
      <c r="Q54" s="244"/>
      <c r="R54" s="244"/>
      <c r="S54" s="4"/>
      <c r="T54" s="4"/>
      <c r="U54" s="49"/>
      <c r="V54" s="49"/>
      <c r="W54" s="49"/>
      <c r="X54" s="49"/>
      <c r="Y54" s="49"/>
      <c r="Z54" s="50"/>
      <c r="AA54" s="67"/>
    </row>
    <row r="55" spans="1:27">
      <c r="A55" s="1358"/>
      <c r="B55" s="1387" t="s">
        <v>156</v>
      </c>
      <c r="C55" s="157" t="s">
        <v>19</v>
      </c>
      <c r="D55" s="245"/>
      <c r="E55" s="245"/>
      <c r="F55" s="248">
        <v>4500</v>
      </c>
      <c r="G55" s="245"/>
      <c r="H55" s="245"/>
      <c r="I55" s="245"/>
      <c r="J55" s="245"/>
      <c r="K55" s="245"/>
      <c r="L55" s="245"/>
      <c r="M55" s="248">
        <v>450</v>
      </c>
      <c r="N55" s="245"/>
      <c r="O55" s="245"/>
      <c r="P55" s="245"/>
      <c r="Q55" s="245"/>
      <c r="R55" s="245"/>
      <c r="S55" s="249">
        <v>1</v>
      </c>
      <c r="T55" s="3"/>
      <c r="U55" s="49"/>
      <c r="V55" s="49"/>
      <c r="W55" s="49"/>
      <c r="X55" s="49"/>
      <c r="Y55" s="49"/>
      <c r="Z55" s="50"/>
      <c r="AA55" s="67"/>
    </row>
    <row r="56" spans="1:27" ht="15.75" thickBot="1">
      <c r="A56" s="1358"/>
      <c r="B56" s="1388"/>
      <c r="C56" s="158" t="s">
        <v>20</v>
      </c>
      <c r="D56" s="244"/>
      <c r="E56" s="244"/>
      <c r="F56" s="244"/>
      <c r="G56" s="244"/>
      <c r="H56" s="244"/>
      <c r="I56" s="244"/>
      <c r="J56" s="244"/>
      <c r="K56" s="244"/>
      <c r="L56" s="244"/>
      <c r="M56" s="244"/>
      <c r="N56" s="244"/>
      <c r="O56" s="244"/>
      <c r="P56" s="244"/>
      <c r="Q56" s="244"/>
      <c r="R56" s="244"/>
      <c r="S56" s="4"/>
      <c r="T56" s="4"/>
      <c r="U56" s="49"/>
      <c r="V56" s="49"/>
      <c r="W56" s="49"/>
      <c r="X56" s="49"/>
      <c r="Y56" s="49"/>
      <c r="Z56" s="50"/>
      <c r="AA56" s="67"/>
    </row>
    <row r="57" spans="1:27">
      <c r="A57" s="1358"/>
      <c r="B57" s="1353" t="s">
        <v>154</v>
      </c>
      <c r="C57" s="157" t="s">
        <v>19</v>
      </c>
      <c r="D57" s="245"/>
      <c r="E57" s="245"/>
      <c r="F57" s="245"/>
      <c r="G57" s="245"/>
      <c r="H57" s="245"/>
      <c r="I57" s="245"/>
      <c r="J57" s="245"/>
      <c r="K57" s="245"/>
      <c r="L57" s="245"/>
      <c r="M57" s="245"/>
      <c r="N57" s="245"/>
      <c r="O57" s="245"/>
      <c r="P57" s="245"/>
      <c r="Q57" s="245"/>
      <c r="R57" s="245"/>
      <c r="S57" s="3"/>
      <c r="T57" s="3"/>
      <c r="U57" s="49"/>
      <c r="V57" s="49"/>
      <c r="W57" s="49"/>
      <c r="X57" s="49"/>
      <c r="Y57" s="49"/>
      <c r="Z57" s="50"/>
      <c r="AA57" s="67"/>
    </row>
    <row r="58" spans="1:27">
      <c r="A58" s="1358"/>
      <c r="B58" s="1354"/>
      <c r="C58" s="158" t="s">
        <v>20</v>
      </c>
      <c r="D58" s="244"/>
      <c r="E58" s="244"/>
      <c r="F58" s="244"/>
      <c r="G58" s="244"/>
      <c r="H58" s="244"/>
      <c r="I58" s="244"/>
      <c r="J58" s="244"/>
      <c r="K58" s="244"/>
      <c r="L58" s="244"/>
      <c r="M58" s="244"/>
      <c r="N58" s="244"/>
      <c r="O58" s="244"/>
      <c r="P58" s="244"/>
      <c r="Q58" s="244"/>
      <c r="R58" s="244"/>
      <c r="S58" s="4"/>
      <c r="T58" s="4"/>
      <c r="U58" s="49"/>
      <c r="V58" s="49"/>
      <c r="W58" s="49"/>
      <c r="X58" s="49"/>
      <c r="Y58" s="49"/>
      <c r="Z58" s="50"/>
      <c r="AA58" s="67"/>
    </row>
    <row r="59" spans="1:27">
      <c r="A59" s="1358"/>
      <c r="B59" s="1387" t="s">
        <v>155</v>
      </c>
      <c r="C59" s="157" t="s">
        <v>19</v>
      </c>
      <c r="D59" s="245"/>
      <c r="E59" s="248">
        <v>12000</v>
      </c>
      <c r="F59" s="245"/>
      <c r="G59" s="245"/>
      <c r="H59" s="245"/>
      <c r="I59" s="245"/>
      <c r="J59" s="245"/>
      <c r="K59" s="245"/>
      <c r="L59" s="245"/>
      <c r="M59" s="248">
        <v>300</v>
      </c>
      <c r="N59" s="245"/>
      <c r="O59" s="245"/>
      <c r="P59" s="245"/>
      <c r="Q59" s="245"/>
      <c r="R59" s="245"/>
      <c r="S59" s="249">
        <v>1</v>
      </c>
      <c r="T59" s="3"/>
      <c r="U59" s="49"/>
      <c r="V59" s="49"/>
      <c r="W59" s="49"/>
      <c r="X59" s="49"/>
      <c r="Y59" s="49"/>
      <c r="Z59" s="50"/>
      <c r="AA59" s="67"/>
    </row>
    <row r="60" spans="1:27" ht="15.75" thickBot="1">
      <c r="A60" s="1359"/>
      <c r="B60" s="1387"/>
      <c r="C60" s="120" t="s">
        <v>20</v>
      </c>
      <c r="D60" s="246"/>
      <c r="E60" s="246"/>
      <c r="F60" s="246"/>
      <c r="G60" s="246"/>
      <c r="H60" s="246"/>
      <c r="I60" s="246"/>
      <c r="J60" s="246"/>
      <c r="K60" s="246"/>
      <c r="L60" s="246"/>
      <c r="M60" s="246"/>
      <c r="N60" s="246"/>
      <c r="O60" s="246"/>
      <c r="P60" s="246"/>
      <c r="Q60" s="246"/>
      <c r="R60" s="246"/>
      <c r="S60" s="5"/>
      <c r="T60" s="5"/>
      <c r="U60" s="69"/>
      <c r="V60" s="69"/>
      <c r="W60" s="69"/>
      <c r="X60" s="69"/>
      <c r="Y60" s="69"/>
      <c r="Z60" s="70"/>
      <c r="AA60" s="71"/>
    </row>
    <row r="61" spans="1:27" ht="15.75" thickBot="1">
      <c r="A61" s="1439" t="s">
        <v>158</v>
      </c>
      <c r="B61" s="1440"/>
      <c r="C61" s="1440"/>
      <c r="D61" s="1440"/>
      <c r="E61" s="1440"/>
      <c r="F61" s="1440"/>
      <c r="G61" s="1440"/>
      <c r="H61" s="1440"/>
      <c r="I61" s="1440"/>
      <c r="J61" s="1440"/>
      <c r="K61" s="1440"/>
      <c r="L61" s="1440"/>
      <c r="M61" s="1440"/>
      <c r="N61" s="1440"/>
      <c r="O61" s="1440"/>
      <c r="P61" s="1440"/>
      <c r="Q61" s="1440"/>
      <c r="R61" s="1440"/>
      <c r="S61" s="1440"/>
      <c r="T61" s="1440"/>
      <c r="U61" s="1440"/>
      <c r="V61" s="1440"/>
      <c r="W61" s="1440"/>
      <c r="X61" s="1440"/>
      <c r="Y61" s="1440"/>
      <c r="Z61" s="81"/>
      <c r="AA61" s="151"/>
    </row>
  </sheetData>
  <mergeCells count="61">
    <mergeCell ref="A61:B61"/>
    <mergeCell ref="C61:Y61"/>
    <mergeCell ref="A53:A60"/>
    <mergeCell ref="B53:B54"/>
    <mergeCell ref="B59:B60"/>
    <mergeCell ref="B55:B56"/>
    <mergeCell ref="B57:B58"/>
    <mergeCell ref="C52:Y52"/>
    <mergeCell ref="A46:A51"/>
    <mergeCell ref="B46:B47"/>
    <mergeCell ref="B48:B49"/>
    <mergeCell ref="B50:B51"/>
    <mergeCell ref="A52:B52"/>
    <mergeCell ref="A43:A44"/>
    <mergeCell ref="B43:B44"/>
    <mergeCell ref="A45:B45"/>
    <mergeCell ref="C45:Y45"/>
    <mergeCell ref="B15:B16"/>
    <mergeCell ref="B17:B18"/>
    <mergeCell ref="B19:B20"/>
    <mergeCell ref="A15:A20"/>
    <mergeCell ref="D15:S15"/>
    <mergeCell ref="A42:B42"/>
    <mergeCell ref="C42:Y42"/>
    <mergeCell ref="A24:B24"/>
    <mergeCell ref="C24:Y24"/>
    <mergeCell ref="A37:B37"/>
    <mergeCell ref="C37:Y37"/>
    <mergeCell ref="A38:A41"/>
    <mergeCell ref="C21:Y21"/>
    <mergeCell ref="A1:A2"/>
    <mergeCell ref="B1:B2"/>
    <mergeCell ref="B12:B13"/>
    <mergeCell ref="A10:A13"/>
    <mergeCell ref="A14:B14"/>
    <mergeCell ref="B10:B11"/>
    <mergeCell ref="A3:A8"/>
    <mergeCell ref="B3:B4"/>
    <mergeCell ref="B5:B6"/>
    <mergeCell ref="B7:B8"/>
    <mergeCell ref="U1:U2"/>
    <mergeCell ref="V1:Y1"/>
    <mergeCell ref="Z1:AA1"/>
    <mergeCell ref="A9:B9"/>
    <mergeCell ref="C9:Y9"/>
    <mergeCell ref="C1:C2"/>
    <mergeCell ref="T1:T2"/>
    <mergeCell ref="D1:L1"/>
    <mergeCell ref="M1:R1"/>
    <mergeCell ref="B38:B39"/>
    <mergeCell ref="B40:B41"/>
    <mergeCell ref="B22:B23"/>
    <mergeCell ref="A22:A23"/>
    <mergeCell ref="A21:B21"/>
    <mergeCell ref="A25:A36"/>
    <mergeCell ref="B25:B26"/>
    <mergeCell ref="B27:B28"/>
    <mergeCell ref="B29:B30"/>
    <mergeCell ref="B31:B32"/>
    <mergeCell ref="B33:B34"/>
    <mergeCell ref="B35:B3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B3:I21"/>
  <sheetViews>
    <sheetView workbookViewId="0">
      <selection activeCell="H27" sqref="H27"/>
    </sheetView>
  </sheetViews>
  <sheetFormatPr defaultRowHeight="15"/>
  <cols>
    <col min="2" max="2" width="10.85546875" customWidth="1"/>
    <col min="3" max="3" width="12.5703125" customWidth="1"/>
    <col min="4" max="4" width="17.5703125" customWidth="1"/>
    <col min="5" max="5" width="15.28515625" customWidth="1"/>
    <col min="6" max="6" width="15.28515625" hidden="1" customWidth="1"/>
    <col min="7" max="7" width="11" customWidth="1"/>
    <col min="8" max="8" width="12.140625" customWidth="1"/>
    <col min="9" max="9" width="13.7109375" customWidth="1"/>
  </cols>
  <sheetData>
    <row r="3" spans="2:9" ht="31.15" customHeight="1">
      <c r="B3" s="1443" t="s">
        <v>66</v>
      </c>
      <c r="C3" s="45" t="s">
        <v>67</v>
      </c>
      <c r="D3" s="45" t="s">
        <v>69</v>
      </c>
      <c r="E3" s="1443" t="s">
        <v>108</v>
      </c>
      <c r="F3" s="1441" t="s">
        <v>71</v>
      </c>
      <c r="G3" s="1441" t="s">
        <v>71</v>
      </c>
      <c r="H3" s="1441" t="s">
        <v>72</v>
      </c>
      <c r="I3" s="46" t="s">
        <v>73</v>
      </c>
    </row>
    <row r="4" spans="2:9" ht="15.75">
      <c r="B4" s="1443"/>
      <c r="C4" s="45" t="s">
        <v>68</v>
      </c>
      <c r="D4" s="45" t="s">
        <v>70</v>
      </c>
      <c r="E4" s="1443"/>
      <c r="F4" s="1442"/>
      <c r="G4" s="1442"/>
      <c r="H4" s="1442"/>
      <c r="I4" s="47" t="s">
        <v>74</v>
      </c>
    </row>
    <row r="5" spans="2:9" ht="15.75">
      <c r="B5" s="45">
        <v>20</v>
      </c>
      <c r="C5" s="45">
        <v>2</v>
      </c>
      <c r="D5" s="45">
        <v>21.5</v>
      </c>
      <c r="E5" s="45">
        <v>0.41</v>
      </c>
      <c r="F5" s="296">
        <v>22</v>
      </c>
      <c r="G5" s="307">
        <f>F5*1.1614534</f>
        <v>25.551974800000004</v>
      </c>
      <c r="H5" s="45">
        <v>30</v>
      </c>
      <c r="I5" s="48">
        <f>G5+H5</f>
        <v>55.551974800000004</v>
      </c>
    </row>
    <row r="6" spans="2:9" ht="15.75">
      <c r="B6" s="45">
        <v>25</v>
      </c>
      <c r="C6" s="45">
        <v>2.2999999999999998</v>
      </c>
      <c r="D6" s="45">
        <v>21.2</v>
      </c>
      <c r="E6" s="45">
        <v>0.71499999999999997</v>
      </c>
      <c r="F6" s="296">
        <v>22.21</v>
      </c>
      <c r="G6" s="307">
        <f t="shared" ref="G6:G21" si="0">F6*1.1614534</f>
        <v>25.795880014000002</v>
      </c>
      <c r="H6" s="45">
        <v>30</v>
      </c>
      <c r="I6" s="48">
        <f t="shared" ref="I6:I21" si="1">G6+H6</f>
        <v>55.795880014000005</v>
      </c>
    </row>
    <row r="7" spans="2:9" ht="15.75">
      <c r="B7" s="45">
        <v>32</v>
      </c>
      <c r="C7" s="45">
        <v>3</v>
      </c>
      <c r="D7" s="45">
        <v>21.5</v>
      </c>
      <c r="E7" s="45">
        <v>1.8</v>
      </c>
      <c r="F7" s="296">
        <v>23.3</v>
      </c>
      <c r="G7" s="307">
        <f t="shared" si="0"/>
        <v>27.061864220000004</v>
      </c>
      <c r="H7" s="45">
        <v>30</v>
      </c>
      <c r="I7" s="48">
        <f t="shared" si="1"/>
        <v>57.061864220000004</v>
      </c>
    </row>
    <row r="8" spans="2:9" ht="15.75">
      <c r="B8" s="45">
        <v>40</v>
      </c>
      <c r="C8" s="45">
        <v>3</v>
      </c>
      <c r="D8" s="45">
        <v>21.5</v>
      </c>
      <c r="E8" s="45">
        <v>2.57</v>
      </c>
      <c r="F8" s="296">
        <v>24.07</v>
      </c>
      <c r="G8" s="307">
        <f t="shared" si="0"/>
        <v>27.956183338000002</v>
      </c>
      <c r="H8" s="45">
        <v>30</v>
      </c>
      <c r="I8" s="48">
        <f t="shared" si="1"/>
        <v>57.956183338000002</v>
      </c>
    </row>
    <row r="9" spans="2:9" ht="15.75">
      <c r="B9" s="45">
        <v>50</v>
      </c>
      <c r="C9" s="45">
        <v>3.7</v>
      </c>
      <c r="D9" s="45">
        <v>21.5</v>
      </c>
      <c r="E9" s="45">
        <v>2.73</v>
      </c>
      <c r="F9" s="296">
        <v>24.23</v>
      </c>
      <c r="G9" s="307">
        <f t="shared" si="0"/>
        <v>28.142015882000003</v>
      </c>
      <c r="H9" s="45">
        <v>30</v>
      </c>
      <c r="I9" s="48">
        <f t="shared" si="1"/>
        <v>58.142015882000003</v>
      </c>
    </row>
    <row r="10" spans="2:9" ht="15.75">
      <c r="B10" s="45">
        <v>63</v>
      </c>
      <c r="C10" s="45">
        <v>4.7</v>
      </c>
      <c r="D10" s="45">
        <v>21.5</v>
      </c>
      <c r="E10" s="45">
        <v>4.32</v>
      </c>
      <c r="F10" s="296">
        <v>25.82</v>
      </c>
      <c r="G10" s="307">
        <f t="shared" si="0"/>
        <v>29.988726788000001</v>
      </c>
      <c r="H10" s="45">
        <v>30</v>
      </c>
      <c r="I10" s="48">
        <f t="shared" si="1"/>
        <v>59.988726788000001</v>
      </c>
    </row>
    <row r="11" spans="2:9" ht="15.75">
      <c r="B11" s="45">
        <v>75</v>
      </c>
      <c r="C11" s="45">
        <v>5.5</v>
      </c>
      <c r="D11" s="45">
        <v>21.5</v>
      </c>
      <c r="E11" s="45">
        <v>6.0389999999999997</v>
      </c>
      <c r="F11" s="296">
        <v>27.53</v>
      </c>
      <c r="G11" s="307">
        <f t="shared" si="0"/>
        <v>31.974812102000005</v>
      </c>
      <c r="H11" s="45">
        <v>30</v>
      </c>
      <c r="I11" s="48">
        <f t="shared" si="1"/>
        <v>61.974812102000001</v>
      </c>
    </row>
    <row r="12" spans="2:9" ht="15.75">
      <c r="B12" s="45">
        <v>90</v>
      </c>
      <c r="C12" s="45">
        <v>6.6</v>
      </c>
      <c r="D12" s="45">
        <v>21.5</v>
      </c>
      <c r="E12" s="45">
        <v>8.7200000000000006</v>
      </c>
      <c r="F12" s="296">
        <v>30.22</v>
      </c>
      <c r="G12" s="307">
        <f t="shared" si="0"/>
        <v>35.099121748000002</v>
      </c>
      <c r="H12" s="45">
        <v>30</v>
      </c>
      <c r="I12" s="48">
        <f t="shared" si="1"/>
        <v>65.099121748000002</v>
      </c>
    </row>
    <row r="13" spans="2:9" ht="15.75">
      <c r="B13" s="45">
        <v>110</v>
      </c>
      <c r="C13" s="45">
        <v>8.1</v>
      </c>
      <c r="D13" s="45">
        <v>21.5</v>
      </c>
      <c r="E13" s="45">
        <v>12.93</v>
      </c>
      <c r="F13" s="296">
        <v>34.43</v>
      </c>
      <c r="G13" s="307">
        <f t="shared" si="0"/>
        <v>39.988840562</v>
      </c>
      <c r="H13" s="45">
        <v>30</v>
      </c>
      <c r="I13" s="48">
        <f t="shared" si="1"/>
        <v>69.988840562000007</v>
      </c>
    </row>
    <row r="14" spans="2:9" ht="15.75">
      <c r="B14" s="45">
        <v>125</v>
      </c>
      <c r="C14" s="45">
        <v>9.1999999999999993</v>
      </c>
      <c r="D14" s="45">
        <v>21.5</v>
      </c>
      <c r="E14" s="45">
        <v>16.72</v>
      </c>
      <c r="F14" s="296">
        <v>38.22</v>
      </c>
      <c r="G14" s="307">
        <f t="shared" si="0"/>
        <v>44.390748948000002</v>
      </c>
      <c r="H14" s="45">
        <v>30</v>
      </c>
      <c r="I14" s="48">
        <f t="shared" si="1"/>
        <v>74.390748948000009</v>
      </c>
    </row>
    <row r="15" spans="2:9" ht="15.75">
      <c r="B15" s="45">
        <v>160</v>
      </c>
      <c r="C15" s="45">
        <v>11.8</v>
      </c>
      <c r="D15" s="45">
        <v>21.5</v>
      </c>
      <c r="E15" s="45">
        <v>27.62</v>
      </c>
      <c r="F15" s="296">
        <v>49.12</v>
      </c>
      <c r="G15" s="307">
        <f t="shared" si="0"/>
        <v>57.050591007999998</v>
      </c>
      <c r="H15" s="45">
        <v>30</v>
      </c>
      <c r="I15" s="48">
        <f t="shared" si="1"/>
        <v>87.050591007999998</v>
      </c>
    </row>
    <row r="16" spans="2:9" ht="15.75">
      <c r="B16" s="45">
        <v>200</v>
      </c>
      <c r="C16" s="45">
        <v>14.7</v>
      </c>
      <c r="D16" s="45">
        <v>21.5</v>
      </c>
      <c r="E16" s="45">
        <v>42.73</v>
      </c>
      <c r="F16" s="296">
        <v>64.23</v>
      </c>
      <c r="G16" s="307">
        <f t="shared" si="0"/>
        <v>74.600151882000006</v>
      </c>
      <c r="H16" s="45">
        <v>30</v>
      </c>
      <c r="I16" s="48">
        <f t="shared" si="1"/>
        <v>104.60015188200001</v>
      </c>
    </row>
    <row r="17" spans="2:9" ht="15.75">
      <c r="B17" s="45">
        <v>250</v>
      </c>
      <c r="C17" s="45">
        <v>18.399999999999999</v>
      </c>
      <c r="D17" s="45">
        <v>21.5</v>
      </c>
      <c r="E17" s="45">
        <v>65.650000000000006</v>
      </c>
      <c r="F17" s="296">
        <v>87.15</v>
      </c>
      <c r="G17" s="307">
        <f t="shared" si="0"/>
        <v>101.22066381000002</v>
      </c>
      <c r="H17" s="45">
        <v>30</v>
      </c>
      <c r="I17" s="48">
        <f t="shared" si="1"/>
        <v>131.22066381000002</v>
      </c>
    </row>
    <row r="18" spans="2:9" ht="15.75">
      <c r="B18" s="45">
        <v>315</v>
      </c>
      <c r="C18" s="45">
        <v>23.3</v>
      </c>
      <c r="D18" s="45">
        <v>21.5</v>
      </c>
      <c r="E18" s="45">
        <v>106.08</v>
      </c>
      <c r="F18" s="296">
        <v>127.58</v>
      </c>
      <c r="G18" s="307">
        <f t="shared" si="0"/>
        <v>148.17822477200002</v>
      </c>
      <c r="H18" s="45">
        <v>30</v>
      </c>
      <c r="I18" s="48">
        <f t="shared" si="1"/>
        <v>178.17822477200002</v>
      </c>
    </row>
    <row r="19" spans="2:9" ht="15.75">
      <c r="B19" s="45">
        <v>400</v>
      </c>
      <c r="C19" s="45">
        <v>29.4</v>
      </c>
      <c r="D19" s="45">
        <v>21.5</v>
      </c>
      <c r="E19" s="45">
        <v>171.36</v>
      </c>
      <c r="F19" s="296">
        <v>192.86</v>
      </c>
      <c r="G19" s="307">
        <f t="shared" si="0"/>
        <v>223.99790272400003</v>
      </c>
      <c r="H19" s="45">
        <v>48</v>
      </c>
      <c r="I19" s="48">
        <f t="shared" si="1"/>
        <v>271.99790272400003</v>
      </c>
    </row>
    <row r="20" spans="2:9" ht="15.75">
      <c r="B20" s="45">
        <v>500</v>
      </c>
      <c r="C20" s="45">
        <v>36.799999999999997</v>
      </c>
      <c r="D20" s="45">
        <v>43</v>
      </c>
      <c r="E20" s="45">
        <v>267.24</v>
      </c>
      <c r="F20" s="296">
        <v>310.24</v>
      </c>
      <c r="G20" s="307">
        <f t="shared" si="0"/>
        <v>360.32930281600005</v>
      </c>
      <c r="H20" s="45">
        <v>48</v>
      </c>
      <c r="I20" s="48">
        <f t="shared" si="1"/>
        <v>408.32930281600005</v>
      </c>
    </row>
    <row r="21" spans="2:9" ht="15.75">
      <c r="B21" s="45">
        <v>630</v>
      </c>
      <c r="C21" s="45">
        <v>46.4</v>
      </c>
      <c r="D21" s="45">
        <v>43</v>
      </c>
      <c r="E21" s="45">
        <v>424.32</v>
      </c>
      <c r="F21" s="296">
        <v>467.32</v>
      </c>
      <c r="G21" s="307">
        <f t="shared" si="0"/>
        <v>542.77040288800004</v>
      </c>
      <c r="H21" s="45">
        <v>48</v>
      </c>
      <c r="I21" s="48">
        <f t="shared" si="1"/>
        <v>590.77040288800004</v>
      </c>
    </row>
  </sheetData>
  <mergeCells count="5">
    <mergeCell ref="G3:G4"/>
    <mergeCell ref="H3:H4"/>
    <mergeCell ref="B3:B4"/>
    <mergeCell ref="E3:E4"/>
    <mergeCell ref="F3:F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3:G17"/>
  <sheetViews>
    <sheetView zoomScale="146" zoomScaleNormal="146" workbookViewId="0">
      <selection activeCell="F22" sqref="F22"/>
    </sheetView>
  </sheetViews>
  <sheetFormatPr defaultRowHeight="15"/>
  <cols>
    <col min="1" max="1" width="16.140625" customWidth="1"/>
    <col min="2" max="2" width="12" customWidth="1"/>
    <col min="3" max="3" width="12" hidden="1" customWidth="1"/>
    <col min="4" max="4" width="11.42578125" customWidth="1"/>
    <col min="5" max="5" width="10.5703125" customWidth="1"/>
    <col min="6" max="6" width="13.28515625" customWidth="1"/>
    <col min="7" max="7" width="13.140625" customWidth="1"/>
  </cols>
  <sheetData>
    <row r="3" spans="1:7" ht="15.75" thickBot="1"/>
    <row r="4" spans="1:7" ht="15.75">
      <c r="A4" s="1444" t="s">
        <v>21</v>
      </c>
      <c r="B4" s="125" t="s">
        <v>48</v>
      </c>
      <c r="C4" s="131" t="s">
        <v>48</v>
      </c>
      <c r="D4" s="131" t="s">
        <v>48</v>
      </c>
      <c r="E4" s="125" t="s">
        <v>48</v>
      </c>
      <c r="F4" s="125" t="s">
        <v>48</v>
      </c>
      <c r="G4" s="126" t="s">
        <v>48</v>
      </c>
    </row>
    <row r="5" spans="1:7" ht="16.5" thickBot="1">
      <c r="A5" s="1445"/>
      <c r="B5" s="127" t="s">
        <v>49</v>
      </c>
      <c r="C5" s="132" t="s">
        <v>50</v>
      </c>
      <c r="D5" s="132" t="s">
        <v>50</v>
      </c>
      <c r="E5" s="127" t="s">
        <v>51</v>
      </c>
      <c r="F5" s="127" t="s">
        <v>52</v>
      </c>
      <c r="G5" s="128" t="s">
        <v>53</v>
      </c>
    </row>
    <row r="6" spans="1:7" ht="15.75">
      <c r="A6" s="129" t="s">
        <v>54</v>
      </c>
      <c r="B6" s="124">
        <v>85</v>
      </c>
      <c r="C6" s="133">
        <v>106</v>
      </c>
      <c r="D6" s="308">
        <f>C6*1.16</f>
        <v>122.96</v>
      </c>
      <c r="E6" s="124">
        <v>128</v>
      </c>
      <c r="F6" s="124">
        <v>150</v>
      </c>
      <c r="G6" s="124">
        <v>173</v>
      </c>
    </row>
    <row r="7" spans="1:7" ht="15.75">
      <c r="A7" s="130" t="s">
        <v>55</v>
      </c>
      <c r="B7" s="43">
        <v>95</v>
      </c>
      <c r="C7" s="134">
        <v>118</v>
      </c>
      <c r="D7" s="308">
        <f t="shared" ref="D7:D17" si="0">C7*1.16</f>
        <v>136.88</v>
      </c>
      <c r="E7" s="43">
        <v>142</v>
      </c>
      <c r="F7" s="43">
        <v>166</v>
      </c>
      <c r="G7" s="43">
        <v>189</v>
      </c>
    </row>
    <row r="8" spans="1:7" ht="15.75">
      <c r="A8" s="130" t="s">
        <v>56</v>
      </c>
      <c r="B8" s="43">
        <v>106</v>
      </c>
      <c r="C8" s="134">
        <v>132</v>
      </c>
      <c r="D8" s="308">
        <f t="shared" si="0"/>
        <v>153.11999999999998</v>
      </c>
      <c r="E8" s="43">
        <v>156</v>
      </c>
      <c r="F8" s="43">
        <v>182</v>
      </c>
      <c r="G8" s="43">
        <v>207</v>
      </c>
    </row>
    <row r="9" spans="1:7" ht="15.75">
      <c r="A9" s="130" t="s">
        <v>57</v>
      </c>
      <c r="B9" s="43">
        <v>120</v>
      </c>
      <c r="C9" s="134">
        <v>146</v>
      </c>
      <c r="D9" s="308">
        <f t="shared" si="0"/>
        <v>169.35999999999999</v>
      </c>
      <c r="E9" s="43">
        <v>173</v>
      </c>
      <c r="F9" s="43">
        <v>200</v>
      </c>
      <c r="G9" s="43">
        <v>226</v>
      </c>
    </row>
    <row r="10" spans="1:7" ht="15.75">
      <c r="A10" s="130" t="s">
        <v>58</v>
      </c>
      <c r="B10" s="43">
        <v>159</v>
      </c>
      <c r="C10" s="134">
        <v>179</v>
      </c>
      <c r="D10" s="308">
        <f t="shared" si="0"/>
        <v>207.64</v>
      </c>
      <c r="E10" s="43">
        <v>209</v>
      </c>
      <c r="F10" s="43">
        <v>238</v>
      </c>
      <c r="G10" s="43">
        <v>268</v>
      </c>
    </row>
    <row r="11" spans="1:7" ht="15.75">
      <c r="A11" s="130" t="s">
        <v>59</v>
      </c>
      <c r="B11" s="43">
        <v>185</v>
      </c>
      <c r="C11" s="134">
        <v>217</v>
      </c>
      <c r="D11" s="308">
        <f t="shared" si="0"/>
        <v>251.71999999999997</v>
      </c>
      <c r="E11" s="43">
        <v>250</v>
      </c>
      <c r="F11" s="43">
        <v>282</v>
      </c>
      <c r="G11" s="43">
        <v>315</v>
      </c>
    </row>
    <row r="12" spans="1:7" ht="15.75">
      <c r="A12" s="130" t="s">
        <v>60</v>
      </c>
      <c r="B12" s="43">
        <v>208</v>
      </c>
      <c r="C12" s="134">
        <v>244</v>
      </c>
      <c r="D12" s="308">
        <f t="shared" si="0"/>
        <v>283.03999999999996</v>
      </c>
      <c r="E12" s="43">
        <v>280</v>
      </c>
      <c r="F12" s="43">
        <v>315</v>
      </c>
      <c r="G12" s="43">
        <v>351</v>
      </c>
    </row>
    <row r="13" spans="1:7" ht="15.75">
      <c r="A13" s="130" t="s">
        <v>61</v>
      </c>
      <c r="B13" s="43">
        <v>170</v>
      </c>
      <c r="C13" s="134">
        <v>206</v>
      </c>
      <c r="D13" s="308">
        <f t="shared" si="0"/>
        <v>238.95999999999998</v>
      </c>
      <c r="E13" s="43">
        <v>243</v>
      </c>
      <c r="F13" s="43">
        <v>278</v>
      </c>
      <c r="G13" s="43">
        <v>324</v>
      </c>
    </row>
    <row r="14" spans="1:7" ht="15.75">
      <c r="A14" s="130" t="s">
        <v>62</v>
      </c>
      <c r="B14" s="43">
        <v>194</v>
      </c>
      <c r="C14" s="134">
        <v>236</v>
      </c>
      <c r="D14" s="308">
        <f t="shared" si="0"/>
        <v>273.76</v>
      </c>
      <c r="E14" s="43">
        <v>210</v>
      </c>
      <c r="F14" s="43">
        <v>309</v>
      </c>
      <c r="G14" s="43">
        <v>360</v>
      </c>
    </row>
    <row r="15" spans="1:7" ht="15.75">
      <c r="A15" s="130" t="s">
        <v>63</v>
      </c>
      <c r="B15" s="43">
        <v>223</v>
      </c>
      <c r="C15" s="134">
        <v>267</v>
      </c>
      <c r="D15" s="308">
        <f t="shared" si="0"/>
        <v>309.71999999999997</v>
      </c>
      <c r="E15" s="43">
        <v>278</v>
      </c>
      <c r="F15" s="43">
        <v>356</v>
      </c>
      <c r="G15" s="43">
        <v>401</v>
      </c>
    </row>
    <row r="16" spans="1:7" ht="15.75">
      <c r="A16" s="130" t="s">
        <v>64</v>
      </c>
      <c r="B16" s="43">
        <v>252</v>
      </c>
      <c r="C16" s="134">
        <v>299</v>
      </c>
      <c r="D16" s="308">
        <f t="shared" si="0"/>
        <v>346.84</v>
      </c>
      <c r="E16" s="43">
        <v>347</v>
      </c>
      <c r="F16" s="43">
        <v>394</v>
      </c>
      <c r="G16" s="43">
        <v>442</v>
      </c>
    </row>
    <row r="17" spans="1:7" ht="15.75">
      <c r="A17" s="130" t="s">
        <v>65</v>
      </c>
      <c r="B17" s="43">
        <v>359</v>
      </c>
      <c r="C17" s="134">
        <v>418</v>
      </c>
      <c r="D17" s="308">
        <f t="shared" si="0"/>
        <v>484.87999999999994</v>
      </c>
      <c r="E17" s="43">
        <v>478</v>
      </c>
      <c r="F17" s="43">
        <v>554</v>
      </c>
      <c r="G17" s="43">
        <v>592</v>
      </c>
    </row>
  </sheetData>
  <mergeCells count="1">
    <mergeCell ref="A4:A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H25"/>
  <sheetViews>
    <sheetView zoomScale="146" zoomScaleNormal="146" workbookViewId="0">
      <selection activeCell="D15" sqref="D15"/>
    </sheetView>
  </sheetViews>
  <sheetFormatPr defaultRowHeight="15"/>
  <cols>
    <col min="1" max="1" width="16.140625" customWidth="1"/>
    <col min="2" max="2" width="12" customWidth="1"/>
    <col min="3" max="3" width="11.42578125" customWidth="1"/>
    <col min="4" max="4" width="10.5703125" customWidth="1"/>
    <col min="5" max="5" width="13.28515625" customWidth="1"/>
    <col min="6" max="6" width="13.140625" customWidth="1"/>
    <col min="8" max="8" width="14" customWidth="1"/>
  </cols>
  <sheetData>
    <row r="1" spans="1:8" ht="15.75" thickBot="1"/>
    <row r="2" spans="1:8" ht="15.75" thickBot="1">
      <c r="A2" s="1446" t="s">
        <v>220</v>
      </c>
      <c r="B2" s="1447"/>
      <c r="C2" s="1448"/>
      <c r="E2" s="1446" t="s">
        <v>162</v>
      </c>
      <c r="F2" s="1447"/>
      <c r="G2" s="1447"/>
      <c r="H2" s="1448"/>
    </row>
    <row r="3" spans="1:8">
      <c r="A3" s="274"/>
      <c r="B3" s="205"/>
      <c r="C3" s="275"/>
      <c r="E3" s="274"/>
      <c r="F3" s="205"/>
      <c r="G3" s="205"/>
      <c r="H3" s="275"/>
    </row>
    <row r="4" spans="1:8">
      <c r="A4" s="279" t="s">
        <v>163</v>
      </c>
      <c r="B4" s="280">
        <v>45000</v>
      </c>
      <c r="C4" s="281" t="s">
        <v>217</v>
      </c>
      <c r="E4" s="279" t="s">
        <v>163</v>
      </c>
      <c r="F4" s="280"/>
      <c r="G4" s="280">
        <v>65000</v>
      </c>
      <c r="H4" s="281" t="s">
        <v>217</v>
      </c>
    </row>
    <row r="5" spans="1:8" ht="15.75" thickBot="1">
      <c r="A5" s="282" t="s">
        <v>164</v>
      </c>
      <c r="B5" s="283">
        <v>65000</v>
      </c>
      <c r="C5" s="284" t="s">
        <v>217</v>
      </c>
      <c r="E5" s="282" t="s">
        <v>164</v>
      </c>
      <c r="F5" s="283"/>
      <c r="G5" s="283">
        <v>70000</v>
      </c>
      <c r="H5" s="284" t="s">
        <v>217</v>
      </c>
    </row>
    <row r="8" spans="1:8" ht="15.75" thickBot="1"/>
    <row r="9" spans="1:8" ht="15.75" thickBot="1">
      <c r="A9" s="1446" t="s">
        <v>214</v>
      </c>
      <c r="B9" s="1447"/>
      <c r="C9" s="1448"/>
      <c r="D9" s="194"/>
      <c r="E9" s="1449" t="s">
        <v>256</v>
      </c>
      <c r="F9" s="1346"/>
      <c r="G9" s="1346"/>
      <c r="H9" s="1347"/>
    </row>
    <row r="10" spans="1:8" ht="15.75" thickBot="1">
      <c r="A10" s="276" t="s">
        <v>215</v>
      </c>
      <c r="B10" s="283">
        <v>20000</v>
      </c>
      <c r="C10" s="284" t="s">
        <v>217</v>
      </c>
      <c r="E10" s="285" t="s">
        <v>261</v>
      </c>
      <c r="F10" s="49"/>
      <c r="G10" s="250">
        <v>27000</v>
      </c>
      <c r="H10" s="286" t="s">
        <v>217</v>
      </c>
    </row>
    <row r="11" spans="1:8">
      <c r="A11" s="205"/>
      <c r="B11" s="205"/>
      <c r="C11" s="205"/>
      <c r="E11" s="285" t="s">
        <v>258</v>
      </c>
      <c r="F11" s="254"/>
      <c r="G11" s="254">
        <v>30000</v>
      </c>
      <c r="H11" s="286" t="s">
        <v>217</v>
      </c>
    </row>
    <row r="12" spans="1:8">
      <c r="A12" s="205"/>
      <c r="B12" s="205"/>
      <c r="C12" s="205"/>
      <c r="E12" s="285" t="s">
        <v>259</v>
      </c>
      <c r="F12" s="254"/>
      <c r="G12" s="254">
        <v>35000</v>
      </c>
      <c r="H12" s="286" t="s">
        <v>217</v>
      </c>
    </row>
    <row r="13" spans="1:8">
      <c r="A13" s="205"/>
      <c r="B13" s="205"/>
      <c r="C13" s="205"/>
      <c r="E13" s="285" t="s">
        <v>260</v>
      </c>
      <c r="F13" s="254"/>
      <c r="G13" s="254">
        <v>40000</v>
      </c>
      <c r="H13" s="286" t="s">
        <v>217</v>
      </c>
    </row>
    <row r="14" spans="1:8" ht="15.75" thickBot="1">
      <c r="A14" s="205"/>
      <c r="B14" s="205"/>
      <c r="C14" s="205"/>
      <c r="E14" s="287" t="s">
        <v>218</v>
      </c>
      <c r="F14" s="288"/>
      <c r="G14" s="288">
        <v>42000</v>
      </c>
      <c r="H14" s="289" t="s">
        <v>217</v>
      </c>
    </row>
    <row r="15" spans="1:8" ht="15.75" thickBot="1"/>
    <row r="16" spans="1:8" ht="15.75" thickBot="1">
      <c r="E16" s="1446" t="s">
        <v>216</v>
      </c>
      <c r="F16" s="1447"/>
      <c r="G16" s="1447"/>
      <c r="H16" s="1448"/>
    </row>
    <row r="17" spans="1:8">
      <c r="E17" s="274" t="s">
        <v>218</v>
      </c>
      <c r="F17" s="205"/>
      <c r="G17" s="205">
        <v>165000</v>
      </c>
      <c r="H17" s="275" t="s">
        <v>217</v>
      </c>
    </row>
    <row r="18" spans="1:8" ht="15.75" thickBot="1">
      <c r="E18" s="276" t="s">
        <v>219</v>
      </c>
      <c r="F18" s="277"/>
      <c r="G18" s="277">
        <v>225000</v>
      </c>
      <c r="H18" s="278" t="s">
        <v>217</v>
      </c>
    </row>
    <row r="19" spans="1:8" ht="15.75" thickBot="1"/>
    <row r="20" spans="1:8" ht="15.75" thickBot="1">
      <c r="A20" s="1446" t="s">
        <v>223</v>
      </c>
      <c r="B20" s="1447"/>
      <c r="C20" s="1448"/>
      <c r="E20" s="1450" t="s">
        <v>263</v>
      </c>
      <c r="F20" s="1450"/>
      <c r="G20" s="1450"/>
      <c r="H20" s="1450"/>
    </row>
    <row r="21" spans="1:8">
      <c r="A21" s="279" t="s">
        <v>262</v>
      </c>
      <c r="B21" s="290">
        <v>90000</v>
      </c>
      <c r="C21" s="275" t="s">
        <v>217</v>
      </c>
      <c r="E21" t="s">
        <v>264</v>
      </c>
    </row>
    <row r="22" spans="1:8">
      <c r="A22" s="279" t="s">
        <v>255</v>
      </c>
      <c r="B22" s="290">
        <v>95000</v>
      </c>
      <c r="C22" s="275" t="s">
        <v>217</v>
      </c>
      <c r="E22" t="s">
        <v>265</v>
      </c>
    </row>
    <row r="23" spans="1:8">
      <c r="A23" s="279" t="s">
        <v>257</v>
      </c>
      <c r="B23" s="290">
        <v>125000</v>
      </c>
      <c r="C23" s="275" t="s">
        <v>217</v>
      </c>
      <c r="E23" t="s">
        <v>266</v>
      </c>
    </row>
    <row r="24" spans="1:8">
      <c r="A24" s="279" t="s">
        <v>221</v>
      </c>
      <c r="B24" s="290">
        <v>150000</v>
      </c>
      <c r="C24" s="275" t="s">
        <v>217</v>
      </c>
      <c r="E24" t="s">
        <v>267</v>
      </c>
    </row>
    <row r="25" spans="1:8" ht="15.75" thickBot="1">
      <c r="A25" s="282" t="s">
        <v>222</v>
      </c>
      <c r="B25" s="291">
        <v>175000</v>
      </c>
      <c r="C25" s="278" t="s">
        <v>217</v>
      </c>
      <c r="E25" t="s">
        <v>268</v>
      </c>
    </row>
  </sheetData>
  <mergeCells count="7">
    <mergeCell ref="A20:C20"/>
    <mergeCell ref="A9:C9"/>
    <mergeCell ref="E9:H9"/>
    <mergeCell ref="E16:H16"/>
    <mergeCell ref="A2:C2"/>
    <mergeCell ref="E2:H2"/>
    <mergeCell ref="E20:H20"/>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B2:D21"/>
  <sheetViews>
    <sheetView workbookViewId="0">
      <selection activeCell="H24" sqref="H24"/>
    </sheetView>
  </sheetViews>
  <sheetFormatPr defaultRowHeight="15"/>
  <cols>
    <col min="2" max="2" width="17.140625" customWidth="1"/>
    <col min="3" max="3" width="13.140625" customWidth="1"/>
    <col min="4" max="4" width="27.28515625" customWidth="1"/>
  </cols>
  <sheetData>
    <row r="2" spans="2:4" ht="15.75" thickBot="1"/>
    <row r="3" spans="2:4" ht="28.9" customHeight="1" thickBot="1">
      <c r="B3" s="51" t="s">
        <v>269</v>
      </c>
      <c r="C3" s="52" t="s">
        <v>81</v>
      </c>
      <c r="D3" s="52" t="s">
        <v>82</v>
      </c>
    </row>
    <row r="4" spans="2:4" ht="18.600000000000001" customHeight="1" thickBot="1">
      <c r="B4" s="292">
        <v>250</v>
      </c>
      <c r="C4" s="293">
        <v>350</v>
      </c>
      <c r="D4" s="293">
        <f>C4*B4</f>
        <v>87500</v>
      </c>
    </row>
    <row r="5" spans="2:4" ht="16.149999999999999" customHeight="1" thickBot="1">
      <c r="B5" s="292">
        <v>300</v>
      </c>
      <c r="C5" s="293">
        <v>342</v>
      </c>
      <c r="D5" s="293">
        <f>C5*B5</f>
        <v>102600</v>
      </c>
    </row>
    <row r="6" spans="2:4" ht="15.6" customHeight="1" thickBot="1">
      <c r="B6" s="292">
        <v>350</v>
      </c>
      <c r="C6" s="293">
        <v>335</v>
      </c>
      <c r="D6" s="293">
        <f>C6*B6</f>
        <v>117250</v>
      </c>
    </row>
    <row r="7" spans="2:4" ht="15.6" customHeight="1" thickBot="1">
      <c r="B7" s="292">
        <v>500</v>
      </c>
      <c r="C7" s="293">
        <v>330</v>
      </c>
      <c r="D7" s="293">
        <f>C7*B7</f>
        <v>165000</v>
      </c>
    </row>
    <row r="8" spans="2:4" ht="17.45" customHeight="1" thickBot="1">
      <c r="B8" s="292">
        <v>750</v>
      </c>
      <c r="C8" s="293">
        <v>325</v>
      </c>
      <c r="D8" s="293">
        <f>C8*B8</f>
        <v>243750</v>
      </c>
    </row>
    <row r="9" spans="2:4" ht="15.75" thickBot="1">
      <c r="B9" s="53">
        <v>1000</v>
      </c>
      <c r="C9" s="54">
        <v>319</v>
      </c>
      <c r="D9" s="54">
        <v>319000</v>
      </c>
    </row>
    <row r="10" spans="2:4" ht="15.75" thickBot="1">
      <c r="B10" s="53">
        <v>2000</v>
      </c>
      <c r="C10" s="54">
        <v>263</v>
      </c>
      <c r="D10" s="54">
        <v>526000</v>
      </c>
    </row>
    <row r="11" spans="2:4" ht="15.75" thickBot="1">
      <c r="B11" s="53">
        <v>3000</v>
      </c>
      <c r="C11" s="54">
        <v>235</v>
      </c>
      <c r="D11" s="54">
        <v>705000</v>
      </c>
    </row>
    <row r="12" spans="2:4" ht="15.75" thickBot="1">
      <c r="B12" s="53">
        <v>4000</v>
      </c>
      <c r="C12" s="54">
        <v>216</v>
      </c>
      <c r="D12" s="54">
        <v>864000</v>
      </c>
    </row>
    <row r="13" spans="2:4" ht="15.75" thickBot="1">
      <c r="B13" s="53">
        <v>5000</v>
      </c>
      <c r="C13" s="54">
        <v>204</v>
      </c>
      <c r="D13" s="54">
        <v>1020000</v>
      </c>
    </row>
    <row r="14" spans="2:4" ht="15.75" thickBot="1">
      <c r="B14" s="53">
        <v>6000</v>
      </c>
      <c r="C14" s="54">
        <v>190</v>
      </c>
      <c r="D14" s="54">
        <v>1140000</v>
      </c>
    </row>
    <row r="15" spans="2:4" ht="15.75" thickBot="1">
      <c r="B15" s="53">
        <v>7000</v>
      </c>
      <c r="C15" s="54">
        <v>182</v>
      </c>
      <c r="D15" s="54">
        <v>1274000</v>
      </c>
    </row>
    <row r="16" spans="2:4" ht="15.75" thickBot="1">
      <c r="B16" s="53">
        <v>8000</v>
      </c>
      <c r="C16" s="54">
        <v>175</v>
      </c>
      <c r="D16" s="54">
        <v>1400000</v>
      </c>
    </row>
    <row r="17" spans="2:4" ht="15.75" thickBot="1">
      <c r="B17" s="53">
        <v>9000</v>
      </c>
      <c r="C17" s="54">
        <v>171</v>
      </c>
      <c r="D17" s="54">
        <v>1539000</v>
      </c>
    </row>
    <row r="18" spans="2:4" ht="15.75" thickBot="1">
      <c r="B18" s="53">
        <v>10000</v>
      </c>
      <c r="C18" s="54">
        <v>168</v>
      </c>
      <c r="D18" s="54">
        <v>1680000</v>
      </c>
    </row>
    <row r="19" spans="2:4" ht="15.75" thickBot="1">
      <c r="B19" s="53">
        <v>15000</v>
      </c>
      <c r="C19" s="54">
        <v>150</v>
      </c>
      <c r="D19" s="54">
        <v>2250000</v>
      </c>
    </row>
    <row r="20" spans="2:4" ht="15.75" thickBot="1">
      <c r="B20" s="53">
        <v>20000</v>
      </c>
      <c r="C20" s="54">
        <v>138</v>
      </c>
      <c r="D20" s="54">
        <v>2760000</v>
      </c>
    </row>
    <row r="21" spans="2:4" ht="15.75" thickBot="1">
      <c r="B21" s="53">
        <v>25000</v>
      </c>
      <c r="C21" s="54">
        <v>125</v>
      </c>
      <c r="D21" s="54">
        <v>3125000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N197"/>
  <sheetViews>
    <sheetView tabSelected="1" view="pageBreakPreview" topLeftCell="A163" zoomScale="85" zoomScaleSheetLayoutView="85" zoomScalePageLayoutView="55" workbookViewId="0">
      <selection activeCell="C194" sqref="C194"/>
    </sheetView>
  </sheetViews>
  <sheetFormatPr defaultRowHeight="30" customHeight="1"/>
  <cols>
    <col min="1" max="1" width="10" customWidth="1"/>
    <col min="2" max="2" width="20.7109375" style="350" customWidth="1"/>
    <col min="3" max="4" width="20.7109375" customWidth="1"/>
    <col min="5" max="5" width="20.7109375" style="320" customWidth="1"/>
    <col min="6" max="6" width="20.7109375" customWidth="1"/>
    <col min="7" max="7" width="13.85546875" hidden="1" customWidth="1"/>
    <col min="8" max="8" width="13" hidden="1" customWidth="1"/>
  </cols>
  <sheetData>
    <row r="1" spans="1:13" ht="15.75">
      <c r="A1" s="1451" t="s">
        <v>1148</v>
      </c>
      <c r="B1" s="1451"/>
      <c r="C1" s="1451"/>
      <c r="D1" s="1451"/>
      <c r="E1" s="1451"/>
      <c r="F1" s="1451"/>
      <c r="G1" s="1451"/>
      <c r="H1" s="1451"/>
    </row>
    <row r="2" spans="1:13" ht="15.75">
      <c r="A2" s="1451" t="s">
        <v>1305</v>
      </c>
      <c r="B2" s="1451"/>
      <c r="C2" s="1451"/>
      <c r="D2" s="1451"/>
      <c r="E2" s="1451"/>
      <c r="F2" s="1451"/>
      <c r="G2" s="1451"/>
      <c r="H2" s="1451"/>
    </row>
    <row r="3" spans="1:13" ht="15.75" thickBot="1">
      <c r="A3" s="493"/>
      <c r="B3" s="494"/>
      <c r="C3" s="495"/>
      <c r="D3" s="495"/>
      <c r="E3" s="495"/>
      <c r="F3" s="496"/>
      <c r="G3" s="496"/>
      <c r="H3" s="496"/>
    </row>
    <row r="4" spans="1:13" ht="15">
      <c r="A4" s="1457" t="s">
        <v>111</v>
      </c>
      <c r="B4" s="1459" t="s">
        <v>110</v>
      </c>
      <c r="C4" s="1459" t="s">
        <v>270</v>
      </c>
      <c r="D4" s="1459" t="s">
        <v>1446</v>
      </c>
      <c r="E4" s="1459" t="s">
        <v>1447</v>
      </c>
      <c r="F4" s="1455" t="s">
        <v>1448</v>
      </c>
      <c r="G4" s="1461" t="s">
        <v>1186</v>
      </c>
      <c r="H4" s="1462"/>
    </row>
    <row r="5" spans="1:13" ht="61.5" customHeight="1" thickBot="1">
      <c r="A5" s="1458"/>
      <c r="B5" s="1460"/>
      <c r="C5" s="1460"/>
      <c r="D5" s="1460"/>
      <c r="E5" s="1460"/>
      <c r="F5" s="1456"/>
      <c r="G5" s="667" t="s">
        <v>303</v>
      </c>
      <c r="H5" s="497" t="s">
        <v>302</v>
      </c>
      <c r="M5" s="694"/>
    </row>
    <row r="6" spans="1:13" s="320" customFormat="1" ht="15.75" thickBot="1">
      <c r="A6" s="689"/>
      <c r="B6" s="690"/>
      <c r="C6" s="690"/>
      <c r="D6" s="690"/>
      <c r="E6" s="690"/>
      <c r="F6" s="691"/>
      <c r="G6" s="687"/>
      <c r="H6" s="688"/>
    </row>
    <row r="7" spans="1:13" ht="30" customHeight="1" thickBot="1">
      <c r="A7" s="695">
        <v>1</v>
      </c>
      <c r="B7" s="696" t="str">
        <f>'Anexa 7.3'!G4</f>
        <v>1. BUDEȘTI</v>
      </c>
      <c r="C7" s="697">
        <f>SUM(C8:C9)</f>
        <v>7786973</v>
      </c>
      <c r="D7" s="697">
        <f>SUM(D8:D9)</f>
        <v>4507973</v>
      </c>
      <c r="E7" s="697">
        <f>SUM(E8:E9)</f>
        <v>3279000</v>
      </c>
      <c r="F7" s="698">
        <f>SUM(F8:F9)</f>
        <v>0</v>
      </c>
      <c r="G7" s="668"/>
      <c r="H7" s="487"/>
      <c r="J7" s="320" t="s">
        <v>2116</v>
      </c>
      <c r="K7" s="694"/>
    </row>
    <row r="8" spans="1:13" ht="30" customHeight="1">
      <c r="A8" s="479" t="s">
        <v>136</v>
      </c>
      <c r="B8" s="480" t="s">
        <v>112</v>
      </c>
      <c r="C8" s="481">
        <f>'Anexa 7.3'!K18</f>
        <v>4507973</v>
      </c>
      <c r="D8" s="482">
        <f>'Anexa 7.3'!L18</f>
        <v>4507973</v>
      </c>
      <c r="E8" s="482">
        <f>'Anexa 7.3'!M18</f>
        <v>0</v>
      </c>
      <c r="F8" s="680">
        <f>'Anexa 7.3'!N18</f>
        <v>0</v>
      </c>
      <c r="G8" s="669"/>
      <c r="H8" s="483"/>
    </row>
    <row r="9" spans="1:13" ht="30" customHeight="1" thickBot="1">
      <c r="A9" s="454" t="s">
        <v>137</v>
      </c>
      <c r="B9" s="455" t="s">
        <v>113</v>
      </c>
      <c r="C9" s="456">
        <f>'Anexa 7.3'!K29</f>
        <v>3279000</v>
      </c>
      <c r="D9" s="457">
        <f>'Anexa 7.3'!L29</f>
        <v>0</v>
      </c>
      <c r="E9" s="457">
        <f>'Anexa 7.3'!M29</f>
        <v>3279000</v>
      </c>
      <c r="F9" s="681">
        <f>'Anexa 7.3'!N29</f>
        <v>0</v>
      </c>
      <c r="G9" s="670"/>
      <c r="H9" s="458"/>
    </row>
    <row r="10" spans="1:13" s="623" customFormat="1" ht="30" customHeight="1" thickBot="1">
      <c r="A10" s="699" t="s">
        <v>114</v>
      </c>
      <c r="B10" s="700" t="s">
        <v>412</v>
      </c>
      <c r="C10" s="697">
        <f>SUM(C11:C12)</f>
        <v>4222907</v>
      </c>
      <c r="D10" s="697">
        <f>SUM(D11:D12)</f>
        <v>2503907</v>
      </c>
      <c r="E10" s="697">
        <f>SUM(E11:E12)</f>
        <v>1719000</v>
      </c>
      <c r="F10" s="698">
        <f>SUM(F11:F12)</f>
        <v>0</v>
      </c>
      <c r="G10" s="671"/>
      <c r="H10" s="624"/>
      <c r="I10" s="634"/>
    </row>
    <row r="11" spans="1:13" s="623" customFormat="1" ht="30" customHeight="1">
      <c r="A11" s="479" t="s">
        <v>115</v>
      </c>
      <c r="B11" s="480" t="s">
        <v>112</v>
      </c>
      <c r="C11" s="481">
        <f>'Anexa 7.3'!K46</f>
        <v>2503907</v>
      </c>
      <c r="D11" s="482">
        <f>'Anexa 7.3'!L46</f>
        <v>2503907</v>
      </c>
      <c r="E11" s="482">
        <f>'Anexa 7.3'!M46</f>
        <v>0</v>
      </c>
      <c r="F11" s="680">
        <f>'Anexa 7.3'!N46</f>
        <v>0</v>
      </c>
      <c r="G11" s="669"/>
      <c r="H11" s="483"/>
      <c r="I11" s="634"/>
    </row>
    <row r="12" spans="1:13" s="623" customFormat="1" ht="30" customHeight="1" thickBot="1">
      <c r="A12" s="454" t="s">
        <v>116</v>
      </c>
      <c r="B12" s="455" t="s">
        <v>113</v>
      </c>
      <c r="C12" s="443">
        <f>'Anexa 7.3'!K56</f>
        <v>1719000</v>
      </c>
      <c r="D12" s="445">
        <f>'Anexa 7.3'!L56</f>
        <v>0</v>
      </c>
      <c r="E12" s="445">
        <f>'Anexa 7.3'!M56</f>
        <v>1719000</v>
      </c>
      <c r="F12" s="682">
        <f>'Anexa 7.3'!N56</f>
        <v>0</v>
      </c>
      <c r="G12" s="672"/>
      <c r="H12" s="447"/>
      <c r="I12" s="634"/>
    </row>
    <row r="13" spans="1:13" s="623" customFormat="1" ht="30" customHeight="1" thickBot="1">
      <c r="A13" s="699" t="s">
        <v>1272</v>
      </c>
      <c r="B13" s="700" t="s">
        <v>457</v>
      </c>
      <c r="C13" s="697">
        <f>SUM(C14:C15)</f>
        <v>5924214</v>
      </c>
      <c r="D13" s="697">
        <f>SUM(D14:D15)</f>
        <v>3422714</v>
      </c>
      <c r="E13" s="697">
        <f>SUM(E14:E15)</f>
        <v>2501500</v>
      </c>
      <c r="F13" s="698">
        <f>SUM(F14:F15)</f>
        <v>0</v>
      </c>
      <c r="G13" s="671"/>
      <c r="H13" s="624"/>
      <c r="I13" s="634"/>
    </row>
    <row r="14" spans="1:13" s="623" customFormat="1" ht="30" customHeight="1">
      <c r="A14" s="479" t="s">
        <v>117</v>
      </c>
      <c r="B14" s="480" t="s">
        <v>112</v>
      </c>
      <c r="C14" s="481">
        <f>'Anexa 7.3'!K74</f>
        <v>3422714</v>
      </c>
      <c r="D14" s="482">
        <f>'Anexa 7.3'!L74</f>
        <v>3422714</v>
      </c>
      <c r="E14" s="482">
        <f>'Anexa 7.3'!M74</f>
        <v>0</v>
      </c>
      <c r="F14" s="680">
        <f>'Anexa 7.3'!N74</f>
        <v>0</v>
      </c>
      <c r="G14" s="669"/>
      <c r="H14" s="483"/>
      <c r="I14" s="634"/>
    </row>
    <row r="15" spans="1:13" s="623" customFormat="1" ht="30" customHeight="1" thickBot="1">
      <c r="A15" s="454" t="s">
        <v>1273</v>
      </c>
      <c r="B15" s="455" t="s">
        <v>113</v>
      </c>
      <c r="C15" s="443">
        <f>'Anexa 7.3'!K84</f>
        <v>2501500</v>
      </c>
      <c r="D15" s="445">
        <f>'Anexa 7.3'!L84</f>
        <v>0</v>
      </c>
      <c r="E15" s="445">
        <f>'Anexa 7.3'!M84</f>
        <v>2501500</v>
      </c>
      <c r="F15" s="682">
        <f>'Anexa 7.3'!N84</f>
        <v>0</v>
      </c>
      <c r="G15" s="672"/>
      <c r="H15" s="447"/>
      <c r="I15" s="634"/>
    </row>
    <row r="16" spans="1:13" s="623" customFormat="1" ht="30" customHeight="1" thickBot="1">
      <c r="A16" s="699" t="s">
        <v>1274</v>
      </c>
      <c r="B16" s="700" t="s">
        <v>405</v>
      </c>
      <c r="C16" s="697">
        <f>SUM(C17:C18)</f>
        <v>6315400</v>
      </c>
      <c r="D16" s="697">
        <f>SUM(D17:D18)</f>
        <v>1935700</v>
      </c>
      <c r="E16" s="697">
        <f>SUM(E17:E18)</f>
        <v>4379700</v>
      </c>
      <c r="F16" s="698">
        <f>SUM(F17:F18)</f>
        <v>0</v>
      </c>
      <c r="G16" s="671"/>
      <c r="H16" s="624"/>
      <c r="I16" s="634"/>
    </row>
    <row r="17" spans="1:12" s="623" customFormat="1" ht="30" customHeight="1">
      <c r="A17" s="479" t="s">
        <v>118</v>
      </c>
      <c r="B17" s="480" t="s">
        <v>112</v>
      </c>
      <c r="C17" s="481">
        <f>'Anexa 7.3'!K107</f>
        <v>1935700</v>
      </c>
      <c r="D17" s="482">
        <f>'Anexa 7.3'!L107</f>
        <v>1935700</v>
      </c>
      <c r="E17" s="482">
        <f>'Anexa 7.3'!M107</f>
        <v>0</v>
      </c>
      <c r="F17" s="680">
        <f>'Anexa 7.3'!N107</f>
        <v>0</v>
      </c>
      <c r="G17" s="669"/>
      <c r="H17" s="483"/>
      <c r="I17" s="634"/>
    </row>
    <row r="18" spans="1:12" s="623" customFormat="1" ht="30" customHeight="1" thickBot="1">
      <c r="A18" s="454" t="s">
        <v>119</v>
      </c>
      <c r="B18" s="455" t="s">
        <v>113</v>
      </c>
      <c r="C18" s="443">
        <f>'Anexa 7.3'!K121</f>
        <v>4379700</v>
      </c>
      <c r="D18" s="445">
        <f>'Anexa 7.3'!L121</f>
        <v>0</v>
      </c>
      <c r="E18" s="445">
        <f>'Anexa 7.3'!M121</f>
        <v>4379700</v>
      </c>
      <c r="F18" s="682">
        <f>'Anexa 7.3'!N121</f>
        <v>0</v>
      </c>
      <c r="G18" s="672"/>
      <c r="H18" s="447"/>
      <c r="I18" s="634"/>
    </row>
    <row r="19" spans="1:12" s="320" customFormat="1" ht="30" customHeight="1" thickBot="1">
      <c r="A19" s="699" t="s">
        <v>1275</v>
      </c>
      <c r="B19" s="700" t="s">
        <v>812</v>
      </c>
      <c r="C19" s="697">
        <f>SUM(C20:C21)</f>
        <v>7016200</v>
      </c>
      <c r="D19" s="697">
        <f>SUM(D20:D21)</f>
        <v>3717700</v>
      </c>
      <c r="E19" s="697">
        <f>SUM(E20:E21)</f>
        <v>3298500</v>
      </c>
      <c r="F19" s="698">
        <f>SUM(F20:F21)</f>
        <v>0</v>
      </c>
      <c r="G19" s="671"/>
      <c r="H19" s="624"/>
    </row>
    <row r="20" spans="1:12" s="320" customFormat="1" ht="30" customHeight="1">
      <c r="A20" s="479" t="s">
        <v>120</v>
      </c>
      <c r="B20" s="480" t="s">
        <v>112</v>
      </c>
      <c r="C20" s="481">
        <f>'Anexa 7.3'!K142</f>
        <v>2379200</v>
      </c>
      <c r="D20" s="482">
        <f>'Anexa 7.3'!L142</f>
        <v>2203200</v>
      </c>
      <c r="E20" s="482">
        <f>'Anexa 7.3'!M142</f>
        <v>176000</v>
      </c>
      <c r="F20" s="680">
        <f>'Anexa 7.3'!N142</f>
        <v>0</v>
      </c>
      <c r="G20" s="669"/>
      <c r="H20" s="483"/>
    </row>
    <row r="21" spans="1:12" s="320" customFormat="1" ht="30" customHeight="1" thickBot="1">
      <c r="A21" s="454" t="s">
        <v>121</v>
      </c>
      <c r="B21" s="455" t="s">
        <v>113</v>
      </c>
      <c r="C21" s="443">
        <f>'Anexa 7.3'!K159</f>
        <v>4637000</v>
      </c>
      <c r="D21" s="445">
        <f>'Anexa 7.3'!L159</f>
        <v>1514500</v>
      </c>
      <c r="E21" s="445">
        <f>'Anexa 7.3'!M159</f>
        <v>3122500</v>
      </c>
      <c r="F21" s="682">
        <f>'Anexa 7.3'!N159</f>
        <v>0</v>
      </c>
      <c r="G21" s="672"/>
      <c r="H21" s="447"/>
    </row>
    <row r="22" spans="1:12" s="205" customFormat="1" ht="30" customHeight="1" thickBot="1">
      <c r="A22" s="699" t="s">
        <v>1276</v>
      </c>
      <c r="B22" s="700" t="s">
        <v>450</v>
      </c>
      <c r="C22" s="697">
        <f>SUM(C23:C24)</f>
        <v>11527317</v>
      </c>
      <c r="D22" s="697">
        <f>SUM(D23:D24)</f>
        <v>5855117</v>
      </c>
      <c r="E22" s="697">
        <f>SUM(E23:E24)</f>
        <v>5672200</v>
      </c>
      <c r="F22" s="698">
        <f>SUM(F23:F24)</f>
        <v>0</v>
      </c>
      <c r="G22" s="671"/>
      <c r="H22" s="624"/>
      <c r="K22" s="701"/>
    </row>
    <row r="23" spans="1:12" s="205" customFormat="1" ht="30" customHeight="1">
      <c r="A23" s="479" t="s">
        <v>122</v>
      </c>
      <c r="B23" s="480" t="s">
        <v>112</v>
      </c>
      <c r="C23" s="481">
        <f>'Anexa 7.3'!K195</f>
        <v>4463717</v>
      </c>
      <c r="D23" s="482">
        <f>'Anexa 7.3'!L195</f>
        <v>4463717</v>
      </c>
      <c r="E23" s="482">
        <f>'Anexa 7.3'!M195</f>
        <v>0</v>
      </c>
      <c r="F23" s="680">
        <f>'Anexa 7.3'!N195</f>
        <v>0</v>
      </c>
      <c r="G23" s="669"/>
      <c r="H23" s="483"/>
    </row>
    <row r="24" spans="1:12" s="205" customFormat="1" ht="30" customHeight="1" thickBot="1">
      <c r="A24" s="454" t="s">
        <v>123</v>
      </c>
      <c r="B24" s="455" t="s">
        <v>113</v>
      </c>
      <c r="C24" s="443">
        <f>'Anexa 7.3'!K213</f>
        <v>7063600</v>
      </c>
      <c r="D24" s="445">
        <f>'Anexa 7.3'!L213</f>
        <v>1391400</v>
      </c>
      <c r="E24" s="445">
        <f>'Anexa 7.3'!M213</f>
        <v>5672200</v>
      </c>
      <c r="F24" s="682">
        <f>'Anexa 7.3'!N213</f>
        <v>0</v>
      </c>
      <c r="G24" s="672"/>
      <c r="H24" s="447"/>
    </row>
    <row r="25" spans="1:12" s="205" customFormat="1" ht="30" customHeight="1" thickBot="1">
      <c r="A25" s="699" t="s">
        <v>1277</v>
      </c>
      <c r="B25" s="700" t="s">
        <v>375</v>
      </c>
      <c r="C25" s="697">
        <f>SUM(C26:C27)</f>
        <v>2561860</v>
      </c>
      <c r="D25" s="697">
        <f>SUM(D26:D27)</f>
        <v>1676060</v>
      </c>
      <c r="E25" s="697">
        <f>SUM(E26:E27)</f>
        <v>885800</v>
      </c>
      <c r="F25" s="698">
        <f>SUM(F26:F27)</f>
        <v>0</v>
      </c>
      <c r="G25" s="671"/>
      <c r="H25" s="624"/>
    </row>
    <row r="26" spans="1:12" s="205" customFormat="1" ht="30" customHeight="1">
      <c r="A26" s="479" t="s">
        <v>124</v>
      </c>
      <c r="B26" s="480" t="s">
        <v>112</v>
      </c>
      <c r="C26" s="481">
        <f>'Anexa 7.3'!K235</f>
        <v>1676060</v>
      </c>
      <c r="D26" s="482">
        <f>'Anexa 7.3'!L235</f>
        <v>1676060</v>
      </c>
      <c r="E26" s="482">
        <f>'Anexa 7.3'!M235</f>
        <v>0</v>
      </c>
      <c r="F26" s="680">
        <f>'Anexa 7.3'!N235</f>
        <v>0</v>
      </c>
      <c r="G26" s="669"/>
      <c r="H26" s="483"/>
    </row>
    <row r="27" spans="1:12" s="205" customFormat="1" ht="30" customHeight="1" thickBot="1">
      <c r="A27" s="454" t="s">
        <v>125</v>
      </c>
      <c r="B27" s="455" t="s">
        <v>113</v>
      </c>
      <c r="C27" s="443">
        <f>'Anexa 7.3'!K243</f>
        <v>885800</v>
      </c>
      <c r="D27" s="445">
        <f>'Anexa 7.3'!L243</f>
        <v>0</v>
      </c>
      <c r="E27" s="445">
        <f>'Anexa 7.3'!M243</f>
        <v>885800</v>
      </c>
      <c r="F27" s="682">
        <f>'Anexa 7.3'!N243</f>
        <v>0</v>
      </c>
      <c r="G27" s="672"/>
      <c r="H27" s="447"/>
    </row>
    <row r="28" spans="1:12" s="320" customFormat="1" ht="30" customHeight="1" thickBot="1">
      <c r="A28" s="699" t="s">
        <v>1278</v>
      </c>
      <c r="B28" s="700" t="s">
        <v>386</v>
      </c>
      <c r="C28" s="697">
        <f>SUM(C29:C30)</f>
        <v>5888600</v>
      </c>
      <c r="D28" s="697">
        <f>SUM(D29:D30)</f>
        <v>2475500</v>
      </c>
      <c r="E28" s="697">
        <f>SUM(E29:E30)</f>
        <v>3413100</v>
      </c>
      <c r="F28" s="698">
        <f>SUM(F29:F30)</f>
        <v>0</v>
      </c>
      <c r="G28" s="671"/>
      <c r="H28" s="624"/>
      <c r="L28" s="694"/>
    </row>
    <row r="29" spans="1:12" s="320" customFormat="1" ht="30" customHeight="1">
      <c r="A29" s="479" t="s">
        <v>126</v>
      </c>
      <c r="B29" s="480" t="s">
        <v>112</v>
      </c>
      <c r="C29" s="481">
        <f>'Anexa 7.3'!K268</f>
        <v>2923500</v>
      </c>
      <c r="D29" s="482">
        <f>'Anexa 7.3'!L268</f>
        <v>2475500</v>
      </c>
      <c r="E29" s="482">
        <f>'Anexa 7.3'!M268</f>
        <v>448000</v>
      </c>
      <c r="F29" s="680">
        <f>'Anexa 7.3'!N268</f>
        <v>0</v>
      </c>
      <c r="G29" s="669"/>
      <c r="H29" s="483"/>
    </row>
    <row r="30" spans="1:12" s="320" customFormat="1" ht="30" customHeight="1" thickBot="1">
      <c r="A30" s="454" t="s">
        <v>127</v>
      </c>
      <c r="B30" s="455" t="s">
        <v>113</v>
      </c>
      <c r="C30" s="443">
        <f>'Anexa 7.3'!K285</f>
        <v>2965100</v>
      </c>
      <c r="D30" s="445">
        <f>'Anexa 7.3'!L285</f>
        <v>0</v>
      </c>
      <c r="E30" s="445">
        <f>'Anexa 7.3'!M285</f>
        <v>2965100</v>
      </c>
      <c r="F30" s="682">
        <f>'Anexa 7.3'!N285</f>
        <v>0</v>
      </c>
      <c r="G30" s="672"/>
      <c r="H30" s="447"/>
      <c r="K30" s="692"/>
    </row>
    <row r="31" spans="1:12" s="623" customFormat="1" ht="30" customHeight="1" thickBot="1">
      <c r="A31" s="699" t="s">
        <v>1279</v>
      </c>
      <c r="B31" s="700" t="s">
        <v>408</v>
      </c>
      <c r="C31" s="697">
        <f>SUM(C32:C33)</f>
        <v>4895900</v>
      </c>
      <c r="D31" s="697">
        <f>SUM(D32:D33)</f>
        <v>2416000</v>
      </c>
      <c r="E31" s="697">
        <f>SUM(E32:E33)</f>
        <v>2479900</v>
      </c>
      <c r="F31" s="698">
        <f>SUM(F32:F33)</f>
        <v>0</v>
      </c>
      <c r="G31" s="671"/>
      <c r="H31" s="624"/>
      <c r="I31" s="634"/>
    </row>
    <row r="32" spans="1:12" s="623" customFormat="1" ht="30" customHeight="1">
      <c r="A32" s="479" t="s">
        <v>128</v>
      </c>
      <c r="B32" s="480" t="s">
        <v>112</v>
      </c>
      <c r="C32" s="481">
        <f>'Anexa 7.3'!K311</f>
        <v>2592000</v>
      </c>
      <c r="D32" s="482">
        <f>'Anexa 7.3'!L311</f>
        <v>2416000</v>
      </c>
      <c r="E32" s="482">
        <f>'Anexa 7.3'!M311</f>
        <v>176000</v>
      </c>
      <c r="F32" s="680">
        <f>'Anexa 7.3'!N311</f>
        <v>0</v>
      </c>
      <c r="G32" s="669"/>
      <c r="H32" s="483"/>
      <c r="I32" s="634"/>
    </row>
    <row r="33" spans="1:11" s="623" customFormat="1" ht="30" customHeight="1" thickBot="1">
      <c r="A33" s="454" t="s">
        <v>129</v>
      </c>
      <c r="B33" s="455" t="s">
        <v>113</v>
      </c>
      <c r="C33" s="443">
        <f>'Anexa 7.3'!K324</f>
        <v>2303900</v>
      </c>
      <c r="D33" s="445">
        <f>'Anexa 7.3'!L324</f>
        <v>0</v>
      </c>
      <c r="E33" s="445">
        <f>'Anexa 7.3'!M324</f>
        <v>2303900</v>
      </c>
      <c r="F33" s="682">
        <f>'Anexa 7.3'!N324</f>
        <v>0</v>
      </c>
      <c r="G33" s="672"/>
      <c r="H33" s="447"/>
      <c r="I33" s="634"/>
    </row>
    <row r="34" spans="1:11" s="320" customFormat="1" ht="30" customHeight="1" thickBot="1">
      <c r="A34" s="699" t="s">
        <v>1280</v>
      </c>
      <c r="B34" s="700" t="s">
        <v>369</v>
      </c>
      <c r="C34" s="697">
        <f>SUM(C35:C36)</f>
        <v>3025100</v>
      </c>
      <c r="D34" s="697">
        <f>SUM(D35:D36)</f>
        <v>0</v>
      </c>
      <c r="E34" s="697">
        <f>SUM(E35:E36)</f>
        <v>3025100</v>
      </c>
      <c r="F34" s="698">
        <f>SUM(F35:F36)</f>
        <v>0</v>
      </c>
      <c r="G34" s="671"/>
      <c r="H34" s="624"/>
    </row>
    <row r="35" spans="1:11" s="320" customFormat="1" ht="30" customHeight="1">
      <c r="A35" s="479" t="s">
        <v>130</v>
      </c>
      <c r="B35" s="480" t="s">
        <v>112</v>
      </c>
      <c r="C35" s="481">
        <f>'Anexa 7.3'!K77</f>
        <v>0</v>
      </c>
      <c r="D35" s="482">
        <v>0</v>
      </c>
      <c r="E35" s="482">
        <v>0</v>
      </c>
      <c r="F35" s="680">
        <v>0</v>
      </c>
      <c r="G35" s="669"/>
      <c r="H35" s="483"/>
    </row>
    <row r="36" spans="1:11" s="320" customFormat="1" ht="30" customHeight="1" thickBot="1">
      <c r="A36" s="454" t="s">
        <v>131</v>
      </c>
      <c r="B36" s="455" t="s">
        <v>113</v>
      </c>
      <c r="C36" s="443">
        <f>'Anexa 7.3'!K342</f>
        <v>3025100</v>
      </c>
      <c r="D36" s="445">
        <f>'Anexa 7.3'!L342</f>
        <v>0</v>
      </c>
      <c r="E36" s="445">
        <f>'Anexa 7.3'!M342</f>
        <v>3025100</v>
      </c>
      <c r="F36" s="682">
        <f>'Anexa 7.3'!N342</f>
        <v>0</v>
      </c>
      <c r="G36" s="672"/>
      <c r="H36" s="447"/>
    </row>
    <row r="37" spans="1:11" s="320" customFormat="1" ht="30" customHeight="1" thickBot="1">
      <c r="A37" s="699" t="s">
        <v>1281</v>
      </c>
      <c r="B37" s="700" t="s">
        <v>465</v>
      </c>
      <c r="C37" s="697">
        <f>SUM(C38:C39)</f>
        <v>5114668</v>
      </c>
      <c r="D37" s="697">
        <f>SUM(D38:D39)</f>
        <v>5114668</v>
      </c>
      <c r="E37" s="697">
        <f>SUM(E38:E39)</f>
        <v>0</v>
      </c>
      <c r="F37" s="698">
        <f>SUM(F38:F39)</f>
        <v>0</v>
      </c>
      <c r="G37" s="671"/>
      <c r="H37" s="624"/>
    </row>
    <row r="38" spans="1:11" s="320" customFormat="1" ht="30" customHeight="1">
      <c r="A38" s="479" t="s">
        <v>132</v>
      </c>
      <c r="B38" s="480" t="s">
        <v>112</v>
      </c>
      <c r="C38" s="481">
        <f>'Anexa 7.3'!K364</f>
        <v>1918000</v>
      </c>
      <c r="D38" s="482">
        <f>'Anexa 7.3'!L364</f>
        <v>1918000</v>
      </c>
      <c r="E38" s="482">
        <f>'Anexa 7.3'!M364</f>
        <v>0</v>
      </c>
      <c r="F38" s="680">
        <f>'Anexa 7.3'!N364</f>
        <v>0</v>
      </c>
      <c r="G38" s="669"/>
      <c r="H38" s="483"/>
      <c r="J38" s="694"/>
    </row>
    <row r="39" spans="1:11" s="320" customFormat="1" ht="30" customHeight="1" thickBot="1">
      <c r="A39" s="454" t="s">
        <v>133</v>
      </c>
      <c r="B39" s="455" t="s">
        <v>113</v>
      </c>
      <c r="C39" s="443">
        <f>'Anexa 7.3'!K377</f>
        <v>3196668</v>
      </c>
      <c r="D39" s="445">
        <f>'Anexa 7.3'!L377</f>
        <v>3196668</v>
      </c>
      <c r="E39" s="445">
        <f>'Anexa 7.3'!M377</f>
        <v>0</v>
      </c>
      <c r="F39" s="682">
        <f>'Anexa 7.3'!N377</f>
        <v>0</v>
      </c>
      <c r="G39" s="672"/>
      <c r="H39" s="447"/>
      <c r="K39" s="692"/>
    </row>
    <row r="40" spans="1:11" s="320" customFormat="1" ht="30" customHeight="1" thickBot="1">
      <c r="A40" s="699" t="s">
        <v>1282</v>
      </c>
      <c r="B40" s="696" t="str">
        <f>'Anexa 7.3'!G381</f>
        <v>12. TIHA BÂRGĂULUI</v>
      </c>
      <c r="C40" s="697">
        <f>C41+C42</f>
        <v>8212600</v>
      </c>
      <c r="D40" s="697">
        <f>D41+D42</f>
        <v>8212600</v>
      </c>
      <c r="E40" s="697">
        <f>E41+E42</f>
        <v>0</v>
      </c>
      <c r="F40" s="698">
        <f>F41+F42</f>
        <v>0</v>
      </c>
      <c r="G40" s="673"/>
      <c r="H40" s="488"/>
    </row>
    <row r="41" spans="1:11" s="320" customFormat="1" ht="30" customHeight="1">
      <c r="A41" s="479" t="s">
        <v>134</v>
      </c>
      <c r="B41" s="480" t="s">
        <v>112</v>
      </c>
      <c r="C41" s="491">
        <f>'Anexa 7.3'!K394</f>
        <v>2829600</v>
      </c>
      <c r="D41" s="666">
        <f>'Anexa 7.3'!L394</f>
        <v>2829600</v>
      </c>
      <c r="E41" s="666">
        <f>'Anexa 7.3'!M394</f>
        <v>0</v>
      </c>
      <c r="F41" s="483">
        <f>'Anexa 7.3'!N394</f>
        <v>0</v>
      </c>
      <c r="G41" s="669"/>
      <c r="H41" s="483"/>
    </row>
    <row r="42" spans="1:11" s="320" customFormat="1" ht="30" customHeight="1" thickBot="1">
      <c r="A42" s="448" t="s">
        <v>135</v>
      </c>
      <c r="B42" s="449" t="s">
        <v>113</v>
      </c>
      <c r="C42" s="460">
        <f>'Anexa 7.3'!K404</f>
        <v>5383000</v>
      </c>
      <c r="D42" s="452">
        <f>'Anexa 7.3'!L404</f>
        <v>5383000</v>
      </c>
      <c r="E42" s="452">
        <f>'Anexa 7.3'!M404</f>
        <v>0</v>
      </c>
      <c r="F42" s="453">
        <f>'Anexa 7.3'!N404</f>
        <v>0</v>
      </c>
      <c r="G42" s="674"/>
      <c r="H42" s="453"/>
    </row>
    <row r="43" spans="1:11" s="320" customFormat="1" ht="30" customHeight="1" thickBot="1">
      <c r="A43" s="695">
        <v>13</v>
      </c>
      <c r="B43" s="696" t="str">
        <f>'Anexa 7.3'!G408</f>
        <v>13. JOSENII BÂRGĂULUI</v>
      </c>
      <c r="C43" s="697">
        <f>C44+C45</f>
        <v>4025300</v>
      </c>
      <c r="D43" s="697">
        <f>D44+D45</f>
        <v>2650300</v>
      </c>
      <c r="E43" s="697">
        <f>E44+E45</f>
        <v>1375000</v>
      </c>
      <c r="F43" s="698">
        <f>F44+F45</f>
        <v>0</v>
      </c>
      <c r="G43" s="673"/>
      <c r="H43" s="488"/>
    </row>
    <row r="44" spans="1:11" s="320" customFormat="1" ht="30" customHeight="1">
      <c r="A44" s="479" t="s">
        <v>284</v>
      </c>
      <c r="B44" s="480" t="s">
        <v>112</v>
      </c>
      <c r="C44" s="481">
        <f>'Anexa 7.3'!K420</f>
        <v>1218100</v>
      </c>
      <c r="D44" s="482">
        <f>'Anexa 7.3'!L420</f>
        <v>1218100</v>
      </c>
      <c r="E44" s="482">
        <f>'Anexa 7.3'!M420</f>
        <v>0</v>
      </c>
      <c r="F44" s="680">
        <f>'Anexa 7.3'!N420</f>
        <v>0</v>
      </c>
      <c r="G44" s="669"/>
      <c r="H44" s="483"/>
    </row>
    <row r="45" spans="1:11" s="320" customFormat="1" ht="30" customHeight="1" thickBot="1">
      <c r="A45" s="448" t="s">
        <v>285</v>
      </c>
      <c r="B45" s="449" t="s">
        <v>113</v>
      </c>
      <c r="C45" s="460">
        <f>'Anexa 7.3'!K430</f>
        <v>2807200</v>
      </c>
      <c r="D45" s="452">
        <f>'Anexa 7.3'!L430</f>
        <v>1432200</v>
      </c>
      <c r="E45" s="452">
        <f>'Anexa 7.3'!M430</f>
        <v>1375000</v>
      </c>
      <c r="F45" s="453">
        <f>'Anexa 7.3'!N430</f>
        <v>0</v>
      </c>
      <c r="G45" s="674"/>
      <c r="H45" s="453"/>
    </row>
    <row r="46" spans="1:11" s="320" customFormat="1" ht="30" customHeight="1" thickBot="1">
      <c r="A46" s="695">
        <v>14</v>
      </c>
      <c r="B46" s="696" t="str">
        <f>'Anexa 7.3'!G434</f>
        <v>14. LIVEZILE</v>
      </c>
      <c r="C46" s="697">
        <f>C47+C48</f>
        <v>4072600</v>
      </c>
      <c r="D46" s="697">
        <f>D47+D48</f>
        <v>2290100</v>
      </c>
      <c r="E46" s="697">
        <f>E47+E48</f>
        <v>1782500</v>
      </c>
      <c r="F46" s="698">
        <f>F47+F48</f>
        <v>0</v>
      </c>
      <c r="G46" s="673"/>
      <c r="H46" s="488"/>
    </row>
    <row r="47" spans="1:11" s="320" customFormat="1" ht="30" customHeight="1">
      <c r="A47" s="479" t="s">
        <v>286</v>
      </c>
      <c r="B47" s="480" t="s">
        <v>112</v>
      </c>
      <c r="C47" s="481">
        <f>'Anexa 7.3'!K448</f>
        <v>1289100</v>
      </c>
      <c r="D47" s="482">
        <f>'Anexa 7.3'!L448</f>
        <v>1289100</v>
      </c>
      <c r="E47" s="482">
        <f>'Anexa 7.3'!M448</f>
        <v>0</v>
      </c>
      <c r="F47" s="680">
        <f>'Anexa 7.3'!N448</f>
        <v>0</v>
      </c>
      <c r="G47" s="669"/>
      <c r="H47" s="483"/>
    </row>
    <row r="48" spans="1:11" s="320" customFormat="1" ht="30" customHeight="1" thickBot="1">
      <c r="A48" s="448" t="s">
        <v>287</v>
      </c>
      <c r="B48" s="449" t="s">
        <v>113</v>
      </c>
      <c r="C48" s="450">
        <f>'Anexa 7.3'!K459</f>
        <v>2783500</v>
      </c>
      <c r="D48" s="451">
        <f>'Anexa 7.3'!L459</f>
        <v>1001000</v>
      </c>
      <c r="E48" s="451">
        <f>'Anexa 7.3'!M459</f>
        <v>1782500</v>
      </c>
      <c r="F48" s="683">
        <f>'Anexa 7.3'!N459</f>
        <v>0</v>
      </c>
      <c r="G48" s="674"/>
      <c r="H48" s="453"/>
    </row>
    <row r="49" spans="1:12" s="320" customFormat="1" ht="30" customHeight="1" thickBot="1">
      <c r="A49" s="699" t="s">
        <v>1286</v>
      </c>
      <c r="B49" s="700" t="s">
        <v>442</v>
      </c>
      <c r="C49" s="697">
        <f>SUM(C50:C52)</f>
        <v>35762900</v>
      </c>
      <c r="D49" s="697">
        <f>SUM(D50:D52)</f>
        <v>29278900</v>
      </c>
      <c r="E49" s="697">
        <f>SUM(E50:E52)</f>
        <v>165000</v>
      </c>
      <c r="F49" s="698">
        <f>SUM(F50:F52)</f>
        <v>6319000</v>
      </c>
      <c r="G49" s="671"/>
      <c r="H49" s="624"/>
    </row>
    <row r="50" spans="1:12" s="320" customFormat="1" ht="30" customHeight="1">
      <c r="A50" s="479" t="s">
        <v>288</v>
      </c>
      <c r="B50" s="480" t="s">
        <v>112</v>
      </c>
      <c r="C50" s="481">
        <f>'Anexa 7.3'!K496</f>
        <v>20846400</v>
      </c>
      <c r="D50" s="482">
        <f>'Anexa 7.3'!L496</f>
        <v>18127400</v>
      </c>
      <c r="E50" s="482">
        <f>'Anexa 7.3'!M496</f>
        <v>0</v>
      </c>
      <c r="F50" s="680">
        <f>'Anexa 7.3'!N496</f>
        <v>2719000</v>
      </c>
      <c r="G50" s="669"/>
      <c r="H50" s="483"/>
    </row>
    <row r="51" spans="1:12" s="320" customFormat="1" ht="30" customHeight="1">
      <c r="A51" s="446" t="s">
        <v>289</v>
      </c>
      <c r="B51" s="444" t="s">
        <v>113</v>
      </c>
      <c r="C51" s="443">
        <f>'Anexa 7.3'!K523</f>
        <v>11656500</v>
      </c>
      <c r="D51" s="445">
        <f>'Anexa 7.3'!L523</f>
        <v>7891500</v>
      </c>
      <c r="E51" s="445">
        <f>'Anexa 7.3'!M523</f>
        <v>165000</v>
      </c>
      <c r="F51" s="682">
        <f>'Anexa 7.3'!N523</f>
        <v>3600000</v>
      </c>
      <c r="G51" s="672"/>
      <c r="H51" s="447"/>
      <c r="L51" s="694"/>
    </row>
    <row r="52" spans="1:12" s="320" customFormat="1" ht="30" customHeight="1" thickBot="1">
      <c r="A52" s="446" t="s">
        <v>1287</v>
      </c>
      <c r="B52" s="444" t="s">
        <v>517</v>
      </c>
      <c r="C52" s="620">
        <f>'Anexa 7.3'!K540</f>
        <v>3260000</v>
      </c>
      <c r="D52" s="621">
        <f>'Anexa 7.3'!L540</f>
        <v>3260000</v>
      </c>
      <c r="E52" s="621">
        <f>'Anexa 7.3'!M540</f>
        <v>0</v>
      </c>
      <c r="F52" s="684">
        <f>'Anexa 7.3'!N540</f>
        <v>0</v>
      </c>
      <c r="G52" s="675"/>
      <c r="H52" s="622"/>
    </row>
    <row r="53" spans="1:12" s="320" customFormat="1" ht="30" customHeight="1" thickBot="1">
      <c r="A53" s="699" t="s">
        <v>1288</v>
      </c>
      <c r="B53" s="696" t="str">
        <f>'Anexa 7.3'!G544</f>
        <v>16. ȘIEU</v>
      </c>
      <c r="C53" s="697">
        <f>C54+C55</f>
        <v>3986900</v>
      </c>
      <c r="D53" s="697">
        <f>D54+D55</f>
        <v>1292700</v>
      </c>
      <c r="E53" s="697">
        <f>E54+E55</f>
        <v>2694200</v>
      </c>
      <c r="F53" s="698">
        <f>F54+F55</f>
        <v>0</v>
      </c>
      <c r="G53" s="673"/>
      <c r="H53" s="488"/>
    </row>
    <row r="54" spans="1:12" s="320" customFormat="1" ht="30" customHeight="1">
      <c r="A54" s="479" t="s">
        <v>290</v>
      </c>
      <c r="B54" s="480" t="s">
        <v>112</v>
      </c>
      <c r="C54" s="491">
        <f>'Anexa 7.3'!K557</f>
        <v>1292700</v>
      </c>
      <c r="D54" s="666">
        <f>'Anexa 7.3'!L557</f>
        <v>1292700</v>
      </c>
      <c r="E54" s="666">
        <f>'Anexa 7.3'!M557</f>
        <v>0</v>
      </c>
      <c r="F54" s="483">
        <f>'Anexa 7.3'!N557</f>
        <v>0</v>
      </c>
      <c r="G54" s="669"/>
      <c r="H54" s="483"/>
    </row>
    <row r="55" spans="1:12" s="320" customFormat="1" ht="30" customHeight="1" thickBot="1">
      <c r="A55" s="448" t="s">
        <v>291</v>
      </c>
      <c r="B55" s="449" t="s">
        <v>113</v>
      </c>
      <c r="C55" s="460">
        <f>'Anexa 7.3'!K568</f>
        <v>2694200</v>
      </c>
      <c r="D55" s="452">
        <f>'Anexa 7.3'!L568</f>
        <v>0</v>
      </c>
      <c r="E55" s="452">
        <f>'Anexa 7.3'!M568</f>
        <v>2694200</v>
      </c>
      <c r="F55" s="453">
        <f>'Anexa 7.3'!N568</f>
        <v>0</v>
      </c>
      <c r="G55" s="674"/>
      <c r="H55" s="453"/>
    </row>
    <row r="56" spans="1:12" s="320" customFormat="1" ht="30" customHeight="1" thickBot="1">
      <c r="A56" s="699" t="s">
        <v>1289</v>
      </c>
      <c r="B56" s="696" t="str">
        <f>'Anexa 7.3'!G572</f>
        <v>17. ȘIEUȚ</v>
      </c>
      <c r="C56" s="697">
        <f>C57+C58</f>
        <v>3360800</v>
      </c>
      <c r="D56" s="697">
        <f>D57+D58</f>
        <v>0</v>
      </c>
      <c r="E56" s="697">
        <f>E57+E58</f>
        <v>3360800</v>
      </c>
      <c r="F56" s="698">
        <f>F57+F58</f>
        <v>0</v>
      </c>
      <c r="G56" s="673"/>
      <c r="H56" s="488"/>
    </row>
    <row r="57" spans="1:12" s="320" customFormat="1" ht="30" customHeight="1">
      <c r="A57" s="479" t="s">
        <v>292</v>
      </c>
      <c r="B57" s="480" t="s">
        <v>112</v>
      </c>
      <c r="C57" s="491">
        <f>'Anexa 7.3'!K580</f>
        <v>0</v>
      </c>
      <c r="D57" s="666">
        <f>'Anexa 7.3'!L580</f>
        <v>0</v>
      </c>
      <c r="E57" s="666">
        <f>'Anexa 7.3'!M580</f>
        <v>0</v>
      </c>
      <c r="F57" s="483">
        <v>0</v>
      </c>
      <c r="G57" s="669"/>
      <c r="H57" s="483"/>
    </row>
    <row r="58" spans="1:12" s="320" customFormat="1" ht="30" customHeight="1" thickBot="1">
      <c r="A58" s="448" t="s">
        <v>293</v>
      </c>
      <c r="B58" s="449" t="s">
        <v>113</v>
      </c>
      <c r="C58" s="460">
        <f>'Anexa 7.3'!K592</f>
        <v>3360800</v>
      </c>
      <c r="D58" s="452">
        <f>'Anexa 7.3'!L592</f>
        <v>0</v>
      </c>
      <c r="E58" s="452">
        <f>'Anexa 7.3'!M592</f>
        <v>3360800</v>
      </c>
      <c r="F58" s="453">
        <f>'Anexa 7.3'!N592</f>
        <v>0</v>
      </c>
      <c r="G58" s="674"/>
      <c r="H58" s="453"/>
    </row>
    <row r="59" spans="1:12" s="320" customFormat="1" ht="30" customHeight="1" thickBot="1">
      <c r="A59" s="699" t="s">
        <v>1290</v>
      </c>
      <c r="B59" s="696" t="str">
        <f>'Anexa 7.3'!G596</f>
        <v>18. MAIERU</v>
      </c>
      <c r="C59" s="697">
        <f>C60+C61</f>
        <v>2386400</v>
      </c>
      <c r="D59" s="697">
        <f>D60+D61</f>
        <v>2386400</v>
      </c>
      <c r="E59" s="697">
        <f>E60+E61</f>
        <v>0</v>
      </c>
      <c r="F59" s="698">
        <f>F60+F61</f>
        <v>0</v>
      </c>
      <c r="G59" s="673"/>
      <c r="H59" s="488"/>
    </row>
    <row r="60" spans="1:12" s="320" customFormat="1" ht="30" customHeight="1">
      <c r="A60" s="479" t="s">
        <v>294</v>
      </c>
      <c r="B60" s="480" t="s">
        <v>112</v>
      </c>
      <c r="C60" s="491">
        <f>'Anexa 7.3'!K604</f>
        <v>1246800</v>
      </c>
      <c r="D60" s="666">
        <f>'Anexa 7.3'!L604</f>
        <v>1246800</v>
      </c>
      <c r="E60" s="666">
        <f>'Anexa 7.3'!M604</f>
        <v>0</v>
      </c>
      <c r="F60" s="483">
        <f>'Anexa 7.3'!N604</f>
        <v>0</v>
      </c>
      <c r="G60" s="669"/>
      <c r="H60" s="483"/>
      <c r="L60" s="692"/>
    </row>
    <row r="61" spans="1:12" s="320" customFormat="1" ht="30" customHeight="1" thickBot="1">
      <c r="A61" s="448" t="s">
        <v>295</v>
      </c>
      <c r="B61" s="449" t="s">
        <v>113</v>
      </c>
      <c r="C61" s="460">
        <f>'Anexa 7.3'!K610</f>
        <v>1139600</v>
      </c>
      <c r="D61" s="452">
        <f>'Anexa 7.3'!L610</f>
        <v>1139600</v>
      </c>
      <c r="E61" s="452">
        <f>'Anexa 7.3'!M610</f>
        <v>0</v>
      </c>
      <c r="F61" s="453">
        <f>'Anexa 7.3'!N610</f>
        <v>0</v>
      </c>
      <c r="G61" s="674"/>
      <c r="H61" s="453"/>
    </row>
    <row r="62" spans="1:12" s="320" customFormat="1" ht="30" customHeight="1" thickBot="1">
      <c r="A62" s="699" t="s">
        <v>1291</v>
      </c>
      <c r="B62" s="696" t="str">
        <f>'Anexa 7.3'!G614</f>
        <v>19. RODNA</v>
      </c>
      <c r="C62" s="697">
        <f>C63+C64</f>
        <v>2906000</v>
      </c>
      <c r="D62" s="697">
        <f>D63+D64</f>
        <v>2906000</v>
      </c>
      <c r="E62" s="697">
        <f>E63+E64</f>
        <v>0</v>
      </c>
      <c r="F62" s="698">
        <f>F63+F64</f>
        <v>0</v>
      </c>
      <c r="G62" s="673"/>
      <c r="H62" s="488"/>
    </row>
    <row r="63" spans="1:12" s="320" customFormat="1" ht="30" customHeight="1">
      <c r="A63" s="479" t="s">
        <v>296</v>
      </c>
      <c r="B63" s="480" t="s">
        <v>112</v>
      </c>
      <c r="C63" s="491">
        <f>'Anexa 7.3'!K621</f>
        <v>2906000</v>
      </c>
      <c r="D63" s="666">
        <f>'Anexa 7.3'!L621</f>
        <v>2906000</v>
      </c>
      <c r="E63" s="666">
        <f>'Anexa 7.3'!M621</f>
        <v>0</v>
      </c>
      <c r="F63" s="483">
        <f>'Anexa 7.3'!N621</f>
        <v>0</v>
      </c>
      <c r="G63" s="669"/>
      <c r="H63" s="483"/>
    </row>
    <row r="64" spans="1:12" s="320" customFormat="1" ht="30" customHeight="1" thickBot="1">
      <c r="A64" s="448" t="s">
        <v>297</v>
      </c>
      <c r="B64" s="449" t="s">
        <v>113</v>
      </c>
      <c r="C64" s="460">
        <v>0</v>
      </c>
      <c r="D64" s="452">
        <v>0</v>
      </c>
      <c r="E64" s="452">
        <v>0</v>
      </c>
      <c r="F64" s="453">
        <v>0</v>
      </c>
      <c r="G64" s="674"/>
      <c r="H64" s="453"/>
    </row>
    <row r="65" spans="1:14" s="320" customFormat="1" ht="30" customHeight="1" thickBot="1">
      <c r="A65" s="699" t="s">
        <v>1292</v>
      </c>
      <c r="B65" s="696" t="str">
        <f>'Anexa 7.3'!G625</f>
        <v>20. ORAȘ SÂNGEORZ - BĂI</v>
      </c>
      <c r="C65" s="697">
        <f>C66+C67</f>
        <v>3236000</v>
      </c>
      <c r="D65" s="697">
        <f>D66+D67</f>
        <v>460000</v>
      </c>
      <c r="E65" s="697">
        <f>E66+E67</f>
        <v>2083000</v>
      </c>
      <c r="F65" s="698">
        <f>F66+F67</f>
        <v>693000</v>
      </c>
      <c r="G65" s="673"/>
      <c r="H65" s="488"/>
      <c r="M65" s="694"/>
      <c r="N65" s="694"/>
    </row>
    <row r="66" spans="1:14" s="320" customFormat="1" ht="30" customHeight="1">
      <c r="A66" s="479" t="s">
        <v>298</v>
      </c>
      <c r="B66" s="480" t="s">
        <v>112</v>
      </c>
      <c r="C66" s="491">
        <f>'Anexa 7.3'!K638</f>
        <v>2543000</v>
      </c>
      <c r="D66" s="666">
        <f>'Anexa 7.3'!L638</f>
        <v>460000</v>
      </c>
      <c r="E66" s="666">
        <f>'Anexa 7.3'!M638</f>
        <v>2083000</v>
      </c>
      <c r="F66" s="483">
        <f>'Anexa 7.3'!N638</f>
        <v>0</v>
      </c>
      <c r="G66" s="669"/>
      <c r="H66" s="483"/>
      <c r="M66" s="694"/>
      <c r="N66" s="694"/>
    </row>
    <row r="67" spans="1:14" s="320" customFormat="1" ht="30" customHeight="1" thickBot="1">
      <c r="A67" s="448" t="s">
        <v>299</v>
      </c>
      <c r="B67" s="449" t="s">
        <v>113</v>
      </c>
      <c r="C67" s="460">
        <f>'Anexa 7.3'!K645</f>
        <v>693000</v>
      </c>
      <c r="D67" s="452">
        <f>'Anexa 7.3'!L645</f>
        <v>0</v>
      </c>
      <c r="E67" s="452">
        <f>'Anexa 7.3'!M645</f>
        <v>0</v>
      </c>
      <c r="F67" s="453">
        <f>'Anexa 7.3'!N645</f>
        <v>693000</v>
      </c>
      <c r="G67" s="674"/>
      <c r="H67" s="453"/>
    </row>
    <row r="68" spans="1:14" s="320" customFormat="1" ht="30" customHeight="1" thickBot="1">
      <c r="A68" s="699" t="s">
        <v>1293</v>
      </c>
      <c r="B68" s="696" t="str">
        <f>'Anexa 7.3'!G649</f>
        <v>21. ORAȘ NĂSĂUD</v>
      </c>
      <c r="C68" s="697">
        <f>C69+C70</f>
        <v>13452000</v>
      </c>
      <c r="D68" s="697">
        <f>D69+D70</f>
        <v>9934000</v>
      </c>
      <c r="E68" s="697">
        <f>E69+E70</f>
        <v>1155500</v>
      </c>
      <c r="F68" s="698">
        <f>F69+F70</f>
        <v>2362500</v>
      </c>
      <c r="G68" s="673"/>
      <c r="H68" s="488"/>
    </row>
    <row r="69" spans="1:14" s="320" customFormat="1" ht="30" customHeight="1">
      <c r="A69" s="479" t="s">
        <v>300</v>
      </c>
      <c r="B69" s="480" t="s">
        <v>112</v>
      </c>
      <c r="C69" s="491">
        <f>'Anexa 7.3'!K671</f>
        <v>11142000</v>
      </c>
      <c r="D69" s="666">
        <f>'Anexa 7.3'!L671</f>
        <v>7624000</v>
      </c>
      <c r="E69" s="666">
        <f>'Anexa 7.3'!M671</f>
        <v>1155500</v>
      </c>
      <c r="F69" s="483">
        <f>'Anexa 7.3'!N671</f>
        <v>2362500</v>
      </c>
      <c r="G69" s="669"/>
      <c r="H69" s="483"/>
    </row>
    <row r="70" spans="1:14" s="320" customFormat="1" ht="30" customHeight="1" thickBot="1">
      <c r="A70" s="448" t="s">
        <v>301</v>
      </c>
      <c r="B70" s="449" t="s">
        <v>113</v>
      </c>
      <c r="C70" s="460">
        <f>'Anexa 7.3'!K679</f>
        <v>2310000</v>
      </c>
      <c r="D70" s="452">
        <f>'Anexa 7.3'!L679</f>
        <v>2310000</v>
      </c>
      <c r="E70" s="452">
        <f>'Anexa 7.3'!M679</f>
        <v>0</v>
      </c>
      <c r="F70" s="453">
        <f>'Anexa 7.3'!N679</f>
        <v>0</v>
      </c>
      <c r="G70" s="674"/>
      <c r="H70" s="453"/>
    </row>
    <row r="71" spans="1:14" s="320" customFormat="1" ht="30" customHeight="1" thickBot="1">
      <c r="A71" s="699" t="s">
        <v>1294</v>
      </c>
      <c r="B71" s="696" t="str">
        <f>'Anexa 7.3'!G683</f>
        <v>22. POIANA ILVEI</v>
      </c>
      <c r="C71" s="697">
        <f>C72+C73</f>
        <v>2735200</v>
      </c>
      <c r="D71" s="697">
        <f>D72+D73</f>
        <v>556400</v>
      </c>
      <c r="E71" s="697">
        <f>E72+E73</f>
        <v>2178800</v>
      </c>
      <c r="F71" s="698">
        <f>F72+F73</f>
        <v>0</v>
      </c>
      <c r="G71" s="673"/>
      <c r="H71" s="488"/>
    </row>
    <row r="72" spans="1:14" s="320" customFormat="1" ht="30" customHeight="1">
      <c r="A72" s="479" t="s">
        <v>1073</v>
      </c>
      <c r="B72" s="480" t="s">
        <v>112</v>
      </c>
      <c r="C72" s="491">
        <f>'Anexa 7.3'!K690</f>
        <v>556400</v>
      </c>
      <c r="D72" s="666">
        <f>'Anexa 7.3'!L690</f>
        <v>556400</v>
      </c>
      <c r="E72" s="666">
        <f>'Anexa 7.3'!M690</f>
        <v>0</v>
      </c>
      <c r="F72" s="483">
        <f>'Anexa 7.3'!N690</f>
        <v>0</v>
      </c>
      <c r="G72" s="669"/>
      <c r="H72" s="650"/>
    </row>
    <row r="73" spans="1:14" s="320" customFormat="1" ht="30" customHeight="1" thickBot="1">
      <c r="A73" s="448" t="s">
        <v>1074</v>
      </c>
      <c r="B73" s="449" t="s">
        <v>113</v>
      </c>
      <c r="C73" s="460">
        <f>'Anexa 7.3'!K699</f>
        <v>2178800</v>
      </c>
      <c r="D73" s="452">
        <f>'Anexa 7.3'!L699</f>
        <v>0</v>
      </c>
      <c r="E73" s="452">
        <f>'Anexa 7.3'!M699</f>
        <v>2178800</v>
      </c>
      <c r="F73" s="453">
        <f>'Anexa 7.3'!N699</f>
        <v>0</v>
      </c>
      <c r="G73" s="674"/>
      <c r="H73" s="453"/>
    </row>
    <row r="74" spans="1:14" s="320" customFormat="1" ht="30" customHeight="1" thickBot="1">
      <c r="A74" s="699" t="s">
        <v>1295</v>
      </c>
      <c r="B74" s="696" t="str">
        <f>'Anexa 7.3'!G703</f>
        <v>23. ILVA MICĂ</v>
      </c>
      <c r="C74" s="697">
        <f>C75+C76</f>
        <v>1060000</v>
      </c>
      <c r="D74" s="697">
        <f>D75+D76</f>
        <v>1060000</v>
      </c>
      <c r="E74" s="697">
        <f>E75+E76</f>
        <v>0</v>
      </c>
      <c r="F74" s="698">
        <f>F75+F76</f>
        <v>0</v>
      </c>
      <c r="G74" s="673"/>
      <c r="H74" s="488"/>
      <c r="J74" s="692"/>
      <c r="N74" s="692"/>
    </row>
    <row r="75" spans="1:14" s="320" customFormat="1" ht="30" customHeight="1">
      <c r="A75" s="479" t="s">
        <v>1075</v>
      </c>
      <c r="B75" s="480" t="s">
        <v>112</v>
      </c>
      <c r="C75" s="491">
        <f>'Anexa 7.3'!K709</f>
        <v>136000</v>
      </c>
      <c r="D75" s="666">
        <f>'Anexa 7.3'!L709</f>
        <v>136000</v>
      </c>
      <c r="E75" s="666">
        <f>'Anexa 7.3'!M709</f>
        <v>0</v>
      </c>
      <c r="F75" s="483">
        <f>'Anexa 7.3'!N709</f>
        <v>0</v>
      </c>
      <c r="G75" s="669"/>
      <c r="H75" s="483"/>
    </row>
    <row r="76" spans="1:14" s="320" customFormat="1" ht="30" customHeight="1" thickBot="1">
      <c r="A76" s="448" t="s">
        <v>1076</v>
      </c>
      <c r="B76" s="449" t="s">
        <v>113</v>
      </c>
      <c r="C76" s="460">
        <f>'Anexa 7.3'!K715</f>
        <v>924000</v>
      </c>
      <c r="D76" s="452">
        <f>'Anexa 7.3'!L715</f>
        <v>924000</v>
      </c>
      <c r="E76" s="452">
        <f>'Anexa 7.3'!M715</f>
        <v>0</v>
      </c>
      <c r="F76" s="453">
        <f>'Anexa 7.3'!N715</f>
        <v>0</v>
      </c>
      <c r="G76" s="674"/>
      <c r="H76" s="453"/>
    </row>
    <row r="77" spans="1:14" ht="30" customHeight="1" thickBot="1">
      <c r="A77" s="695">
        <v>24</v>
      </c>
      <c r="B77" s="696" t="str">
        <f>'Anexa 7.3'!G719</f>
        <v>24. BUDACU DE JOS</v>
      </c>
      <c r="C77" s="697">
        <f>C78+C79</f>
        <v>4245800</v>
      </c>
      <c r="D77" s="697">
        <f>D78+D79</f>
        <v>1243300</v>
      </c>
      <c r="E77" s="697">
        <f>E78+E79</f>
        <v>3002500</v>
      </c>
      <c r="F77" s="698">
        <f>F78+F79</f>
        <v>0</v>
      </c>
      <c r="G77" s="668"/>
      <c r="H77" s="487"/>
    </row>
    <row r="78" spans="1:14" ht="30" customHeight="1">
      <c r="A78" s="479" t="s">
        <v>1077</v>
      </c>
      <c r="B78" s="480" t="s">
        <v>112</v>
      </c>
      <c r="C78" s="481">
        <f>'Anexa 7.3'!K735</f>
        <v>1243300</v>
      </c>
      <c r="D78" s="482">
        <f>'Anexa 7.3'!L735</f>
        <v>1243300</v>
      </c>
      <c r="E78" s="482">
        <f>'Anexa 7.3'!M735</f>
        <v>0</v>
      </c>
      <c r="F78" s="680">
        <f>'Anexa 7.3'!N735</f>
        <v>0</v>
      </c>
      <c r="G78" s="669"/>
      <c r="H78" s="483"/>
    </row>
    <row r="79" spans="1:14" ht="30" customHeight="1" thickBot="1">
      <c r="A79" s="454" t="s">
        <v>1078</v>
      </c>
      <c r="B79" s="455" t="s">
        <v>113</v>
      </c>
      <c r="C79" s="456">
        <f>'Anexa 7.3'!K753</f>
        <v>3002500</v>
      </c>
      <c r="D79" s="457">
        <f>'Anexa 7.3'!L753</f>
        <v>0</v>
      </c>
      <c r="E79" s="457">
        <f>'Anexa 7.3'!M753</f>
        <v>3002500</v>
      </c>
      <c r="F79" s="681">
        <f>'Anexa 7.3'!N753</f>
        <v>0</v>
      </c>
      <c r="G79" s="670"/>
      <c r="H79" s="458"/>
    </row>
    <row r="80" spans="1:14" ht="30" customHeight="1" thickBot="1">
      <c r="A80" s="695">
        <v>25</v>
      </c>
      <c r="B80" s="696" t="str">
        <f>'Anexa 7.3'!G757</f>
        <v>25. PETRU RAREȘ</v>
      </c>
      <c r="C80" s="697">
        <f>C81+C82</f>
        <v>4071600</v>
      </c>
      <c r="D80" s="697">
        <f>D81+D82</f>
        <v>4071600</v>
      </c>
      <c r="E80" s="697">
        <f>E81+E82</f>
        <v>0</v>
      </c>
      <c r="F80" s="698">
        <f>F81+F82</f>
        <v>0</v>
      </c>
      <c r="G80" s="673"/>
      <c r="H80" s="488"/>
    </row>
    <row r="81" spans="1:13" ht="30" customHeight="1">
      <c r="A81" s="479" t="s">
        <v>1079</v>
      </c>
      <c r="B81" s="480" t="s">
        <v>112</v>
      </c>
      <c r="C81" s="481">
        <f>'Anexa 7.3'!K764</f>
        <v>652800</v>
      </c>
      <c r="D81" s="482">
        <f>'Anexa 7.3'!L764</f>
        <v>652800</v>
      </c>
      <c r="E81" s="482">
        <f>'Anexa 7.3'!M764</f>
        <v>0</v>
      </c>
      <c r="F81" s="680">
        <f>'Anexa 7.3'!N764</f>
        <v>0</v>
      </c>
      <c r="G81" s="669"/>
      <c r="H81" s="483"/>
    </row>
    <row r="82" spans="1:13" ht="30" customHeight="1" thickBot="1">
      <c r="A82" s="448" t="s">
        <v>1080</v>
      </c>
      <c r="B82" s="449" t="s">
        <v>113</v>
      </c>
      <c r="C82" s="450">
        <f>'Anexa 7.3'!K771</f>
        <v>3418800</v>
      </c>
      <c r="D82" s="451">
        <f>'Anexa 7.3'!L771</f>
        <v>3418800</v>
      </c>
      <c r="E82" s="451">
        <f>'Anexa 7.3'!M771</f>
        <v>0</v>
      </c>
      <c r="F82" s="683">
        <f>'Anexa 7.3'!N771</f>
        <v>0</v>
      </c>
      <c r="G82" s="674"/>
      <c r="H82" s="453"/>
    </row>
    <row r="83" spans="1:13" ht="30" customHeight="1" thickBot="1">
      <c r="A83" s="695">
        <v>26</v>
      </c>
      <c r="B83" s="696" t="str">
        <f>'Anexa 7.3'!G775</f>
        <v>26. CICEU MIHĂEȘTI</v>
      </c>
      <c r="C83" s="697">
        <f>C84+C85</f>
        <v>2715200</v>
      </c>
      <c r="D83" s="697">
        <f>D84+D85</f>
        <v>753400</v>
      </c>
      <c r="E83" s="697">
        <f>E84+E85</f>
        <v>1961800</v>
      </c>
      <c r="F83" s="698">
        <f>F84+F85</f>
        <v>0</v>
      </c>
      <c r="G83" s="673"/>
      <c r="H83" s="488"/>
      <c r="K83" s="694"/>
      <c r="L83" s="694"/>
    </row>
    <row r="84" spans="1:13" ht="30" customHeight="1">
      <c r="A84" s="479" t="s">
        <v>1081</v>
      </c>
      <c r="B84" s="480" t="s">
        <v>112</v>
      </c>
      <c r="C84" s="481">
        <f>'Anexa 7.3'!K789</f>
        <v>1150200</v>
      </c>
      <c r="D84" s="482">
        <f>'Anexa 7.3'!L789</f>
        <v>753400</v>
      </c>
      <c r="E84" s="482">
        <f>'Anexa 7.3'!M789</f>
        <v>396800</v>
      </c>
      <c r="F84" s="680">
        <f>'Anexa 7.3'!N789</f>
        <v>0</v>
      </c>
      <c r="G84" s="669"/>
      <c r="H84" s="483"/>
    </row>
    <row r="85" spans="1:13" ht="30" customHeight="1" thickBot="1">
      <c r="A85" s="448" t="s">
        <v>1082</v>
      </c>
      <c r="B85" s="449" t="s">
        <v>113</v>
      </c>
      <c r="C85" s="450">
        <f>'Anexa 7.3'!K799</f>
        <v>1565000</v>
      </c>
      <c r="D85" s="451">
        <f>'Anexa 7.3'!L799</f>
        <v>0</v>
      </c>
      <c r="E85" s="451">
        <f>'Anexa 7.3'!M799</f>
        <v>1565000</v>
      </c>
      <c r="F85" s="683">
        <f>'Anexa 7.3'!N799</f>
        <v>0</v>
      </c>
      <c r="G85" s="674"/>
      <c r="H85" s="453"/>
    </row>
    <row r="86" spans="1:13" s="320" customFormat="1" ht="30" customHeight="1" thickBot="1">
      <c r="A86" s="695">
        <v>27</v>
      </c>
      <c r="B86" s="696" t="s">
        <v>1378</v>
      </c>
      <c r="C86" s="697">
        <f>C87+C88</f>
        <v>11783940</v>
      </c>
      <c r="D86" s="697">
        <f>D87+D88</f>
        <v>6788940</v>
      </c>
      <c r="E86" s="697">
        <f>E87+E88</f>
        <v>955000</v>
      </c>
      <c r="F86" s="698">
        <f>F87+F88</f>
        <v>4040000</v>
      </c>
      <c r="G86" s="673"/>
      <c r="H86" s="488"/>
      <c r="M86" s="694"/>
    </row>
    <row r="87" spans="1:13" s="320" customFormat="1" ht="30" customHeight="1">
      <c r="A87" s="655" t="s">
        <v>1083</v>
      </c>
      <c r="B87" s="656" t="str">
        <f>B84</f>
        <v>Alimentare cu apa</v>
      </c>
      <c r="C87" s="657">
        <f>'Anexa 7.3'!K832</f>
        <v>7317940</v>
      </c>
      <c r="D87" s="658">
        <f>'Anexa 7.3'!L832</f>
        <v>4632940</v>
      </c>
      <c r="E87" s="658">
        <f>'Anexa 7.3'!M832</f>
        <v>955000</v>
      </c>
      <c r="F87" s="685">
        <f>'Anexa 7.3'!N832</f>
        <v>1730000</v>
      </c>
      <c r="G87" s="676"/>
      <c r="H87" s="659"/>
    </row>
    <row r="88" spans="1:13" s="320" customFormat="1" ht="30" customHeight="1" thickBot="1">
      <c r="A88" s="448" t="s">
        <v>1084</v>
      </c>
      <c r="B88" s="449" t="str">
        <f>B85</f>
        <v>Apa uzata</v>
      </c>
      <c r="C88" s="450">
        <f>'Anexa 7.3'!K843</f>
        <v>4466000</v>
      </c>
      <c r="D88" s="451">
        <f>'Anexa 7.3'!L843</f>
        <v>2156000</v>
      </c>
      <c r="E88" s="451">
        <f>'Anexa 7.3'!M843</f>
        <v>0</v>
      </c>
      <c r="F88" s="683">
        <f>'Anexa 7.3'!N843</f>
        <v>2310000</v>
      </c>
      <c r="G88" s="674"/>
      <c r="H88" s="453"/>
    </row>
    <row r="89" spans="1:13" ht="30" customHeight="1" thickBot="1">
      <c r="A89" s="695">
        <v>28</v>
      </c>
      <c r="B89" s="696" t="str">
        <f>'Anexa 7.3'!G847</f>
        <v>28. CETATE</v>
      </c>
      <c r="C89" s="697">
        <f>C90+C91</f>
        <v>36500</v>
      </c>
      <c r="D89" s="697">
        <f>D90+D91</f>
        <v>36500</v>
      </c>
      <c r="E89" s="697">
        <f>E90+E91</f>
        <v>0</v>
      </c>
      <c r="F89" s="698">
        <f>F90+F91</f>
        <v>0</v>
      </c>
      <c r="G89" s="668"/>
      <c r="H89" s="487"/>
    </row>
    <row r="90" spans="1:13" ht="30" customHeight="1">
      <c r="A90" s="479" t="s">
        <v>1085</v>
      </c>
      <c r="B90" s="480" t="s">
        <v>112</v>
      </c>
      <c r="C90" s="481">
        <f>'Anexa 7.3'!K853</f>
        <v>36500</v>
      </c>
      <c r="D90" s="482">
        <f>'Anexa 7.3'!L853</f>
        <v>36500</v>
      </c>
      <c r="E90" s="482">
        <f>'Anexa 7.3'!M853</f>
        <v>0</v>
      </c>
      <c r="F90" s="680">
        <f>'Anexa 7.3'!N853</f>
        <v>0</v>
      </c>
      <c r="G90" s="669"/>
      <c r="H90" s="483"/>
    </row>
    <row r="91" spans="1:13" ht="30" customHeight="1" thickBot="1">
      <c r="A91" s="454" t="s">
        <v>1086</v>
      </c>
      <c r="B91" s="455" t="s">
        <v>113</v>
      </c>
      <c r="C91" s="456">
        <v>0</v>
      </c>
      <c r="D91" s="457">
        <v>0</v>
      </c>
      <c r="E91" s="457">
        <v>0</v>
      </c>
      <c r="F91" s="681">
        <v>0</v>
      </c>
      <c r="G91" s="670"/>
      <c r="H91" s="458"/>
    </row>
    <row r="92" spans="1:13" ht="30" hidden="1" customHeight="1" thickBot="1">
      <c r="A92" s="484">
        <v>29</v>
      </c>
      <c r="B92" s="485" t="e">
        <f>'Anexa 7.3'!#REF!</f>
        <v>#REF!</v>
      </c>
      <c r="C92" s="486">
        <v>0</v>
      </c>
      <c r="D92" s="486">
        <v>0</v>
      </c>
      <c r="E92" s="486">
        <v>0</v>
      </c>
      <c r="F92" s="487">
        <v>0</v>
      </c>
      <c r="G92" s="673"/>
      <c r="H92" s="488"/>
    </row>
    <row r="93" spans="1:13" ht="30" hidden="1" customHeight="1">
      <c r="A93" s="479" t="s">
        <v>1087</v>
      </c>
      <c r="B93" s="480" t="s">
        <v>112</v>
      </c>
      <c r="C93" s="481">
        <v>0</v>
      </c>
      <c r="D93" s="482" t="e">
        <f>'Anexa 7.3'!#REF!</f>
        <v>#REF!</v>
      </c>
      <c r="E93" s="482" t="e">
        <f>'Anexa 7.3'!#REF!</f>
        <v>#REF!</v>
      </c>
      <c r="F93" s="680" t="e">
        <f>'Anexa 7.3'!#REF!</f>
        <v>#REF!</v>
      </c>
      <c r="G93" s="669"/>
      <c r="H93" s="483"/>
    </row>
    <row r="94" spans="1:13" ht="30" hidden="1" customHeight="1" thickBot="1">
      <c r="A94" s="454" t="s">
        <v>1088</v>
      </c>
      <c r="B94" s="455" t="s">
        <v>113</v>
      </c>
      <c r="C94" s="456">
        <v>0</v>
      </c>
      <c r="D94" s="457">
        <v>0</v>
      </c>
      <c r="E94" s="457">
        <v>0</v>
      </c>
      <c r="F94" s="681">
        <v>0</v>
      </c>
      <c r="G94" s="670"/>
      <c r="H94" s="458"/>
    </row>
    <row r="95" spans="1:13" ht="30" customHeight="1" thickBot="1">
      <c r="A95" s="695">
        <v>29</v>
      </c>
      <c r="B95" s="696" t="str">
        <f>'Anexa 7.3'!G857</f>
        <v>29. NUȘENI</v>
      </c>
      <c r="C95" s="697">
        <f>C96+C97</f>
        <v>6627858</v>
      </c>
      <c r="D95" s="697">
        <f>D96+D97</f>
        <v>0</v>
      </c>
      <c r="E95" s="697">
        <f>E96+E97</f>
        <v>6627858</v>
      </c>
      <c r="F95" s="698">
        <f>F96+F97</f>
        <v>0</v>
      </c>
      <c r="G95" s="673"/>
      <c r="H95" s="488"/>
    </row>
    <row r="96" spans="1:13" ht="30" customHeight="1">
      <c r="A96" s="489" t="s">
        <v>1087</v>
      </c>
      <c r="B96" s="480" t="s">
        <v>112</v>
      </c>
      <c r="C96" s="481">
        <v>0</v>
      </c>
      <c r="D96" s="482">
        <v>0</v>
      </c>
      <c r="E96" s="482">
        <v>0</v>
      </c>
      <c r="F96" s="680">
        <v>0</v>
      </c>
      <c r="G96" s="669"/>
      <c r="H96" s="483"/>
    </row>
    <row r="97" spans="1:13" ht="30" customHeight="1" thickBot="1">
      <c r="A97" s="459" t="s">
        <v>1088</v>
      </c>
      <c r="B97" s="455" t="s">
        <v>113</v>
      </c>
      <c r="C97" s="456">
        <f>'Anexa 7.3'!K875</f>
        <v>6627858</v>
      </c>
      <c r="D97" s="457">
        <f>'Anexa 7.3'!L875</f>
        <v>0</v>
      </c>
      <c r="E97" s="457">
        <f>'Anexa 7.3'!M875</f>
        <v>6627858</v>
      </c>
      <c r="F97" s="681">
        <f>'Anexa 7.3'!N875</f>
        <v>0</v>
      </c>
      <c r="G97" s="670"/>
      <c r="H97" s="458"/>
      <c r="L97" s="694"/>
    </row>
    <row r="98" spans="1:13" ht="30" customHeight="1" thickBot="1">
      <c r="A98" s="695">
        <v>30</v>
      </c>
      <c r="B98" s="696" t="str">
        <f>'Anexa 7.3'!G879</f>
        <v>30. ȘIEU MĂGHERUȘ</v>
      </c>
      <c r="C98" s="697">
        <f>C99+C100</f>
        <v>5299400</v>
      </c>
      <c r="D98" s="697">
        <f>D99+D100</f>
        <v>2738400</v>
      </c>
      <c r="E98" s="697">
        <f>E99+E100</f>
        <v>2561000</v>
      </c>
      <c r="F98" s="698">
        <f>F99+F100</f>
        <v>0</v>
      </c>
      <c r="G98" s="677"/>
      <c r="H98" s="490"/>
    </row>
    <row r="99" spans="1:13" ht="30" customHeight="1">
      <c r="A99" s="479" t="s">
        <v>1089</v>
      </c>
      <c r="B99" s="480" t="str">
        <f>B96</f>
        <v>Alimentare cu apa</v>
      </c>
      <c r="C99" s="481">
        <f>'Anexa 7.3'!K890</f>
        <v>998400</v>
      </c>
      <c r="D99" s="482">
        <f>'Anexa 7.3'!L890</f>
        <v>774400</v>
      </c>
      <c r="E99" s="482">
        <f>'Anexa 7.3'!M890</f>
        <v>224000</v>
      </c>
      <c r="F99" s="680">
        <f>'Anexa 7.3'!N890</f>
        <v>0</v>
      </c>
      <c r="G99" s="669"/>
      <c r="H99" s="483"/>
    </row>
    <row r="100" spans="1:13" ht="30" customHeight="1" thickBot="1">
      <c r="A100" s="454" t="s">
        <v>1090</v>
      </c>
      <c r="B100" s="455" t="s">
        <v>113</v>
      </c>
      <c r="C100" s="456">
        <f>'Anexa 7.3'!K906</f>
        <v>4301000</v>
      </c>
      <c r="D100" s="457">
        <f>'Anexa 7.3'!L906</f>
        <v>1964000</v>
      </c>
      <c r="E100" s="457">
        <f>'Anexa 7.3'!M906</f>
        <v>2337000</v>
      </c>
      <c r="F100" s="681">
        <f>'Anexa 7.3'!N906</f>
        <v>0</v>
      </c>
      <c r="G100" s="670"/>
      <c r="H100" s="458"/>
      <c r="M100" s="692"/>
    </row>
    <row r="101" spans="1:13" ht="30" customHeight="1" thickBot="1">
      <c r="A101" s="695">
        <v>31</v>
      </c>
      <c r="B101" s="696" t="str">
        <f>'Anexa 7.3'!G910</f>
        <v>31. ȘINETERAG</v>
      </c>
      <c r="C101" s="697">
        <f>C102+C103</f>
        <v>2442200</v>
      </c>
      <c r="D101" s="697">
        <f>D102+D103</f>
        <v>0</v>
      </c>
      <c r="E101" s="697">
        <f>E102+E103</f>
        <v>2442200</v>
      </c>
      <c r="F101" s="698">
        <f>F102+F103</f>
        <v>0</v>
      </c>
      <c r="G101" s="673"/>
      <c r="H101" s="488"/>
    </row>
    <row r="102" spans="1:13" ht="30" customHeight="1">
      <c r="A102" s="479" t="s">
        <v>1091</v>
      </c>
      <c r="B102" s="480" t="s">
        <v>112</v>
      </c>
      <c r="C102" s="481">
        <v>0</v>
      </c>
      <c r="D102" s="482">
        <v>0</v>
      </c>
      <c r="E102" s="482">
        <v>0</v>
      </c>
      <c r="F102" s="680">
        <v>0</v>
      </c>
      <c r="G102" s="669"/>
      <c r="H102" s="483"/>
    </row>
    <row r="103" spans="1:13" ht="30" customHeight="1" thickBot="1">
      <c r="A103" s="448" t="s">
        <v>1092</v>
      </c>
      <c r="B103" s="449" t="s">
        <v>113</v>
      </c>
      <c r="C103" s="450">
        <f>'Anexa 7.3'!K921</f>
        <v>2442200</v>
      </c>
      <c r="D103" s="451">
        <f>'Anexa 7.3'!L921</f>
        <v>0</v>
      </c>
      <c r="E103" s="451">
        <f>'Anexa 7.3'!M921</f>
        <v>2442200</v>
      </c>
      <c r="F103" s="683">
        <f>'Anexa 7.3'!N921</f>
        <v>0</v>
      </c>
      <c r="G103" s="674"/>
      <c r="H103" s="453"/>
    </row>
    <row r="104" spans="1:13" ht="30" customHeight="1" thickBot="1">
      <c r="A104" s="695">
        <v>32</v>
      </c>
      <c r="B104" s="696" t="str">
        <f>'Anexa 7.3'!G925</f>
        <v>32. BRANIȘTEA</v>
      </c>
      <c r="C104" s="697">
        <f>C105+C106</f>
        <v>4346600</v>
      </c>
      <c r="D104" s="697">
        <f>D105+D106</f>
        <v>2411600</v>
      </c>
      <c r="E104" s="697">
        <f>E105+E106</f>
        <v>1935000</v>
      </c>
      <c r="F104" s="698">
        <f>F105+F106</f>
        <v>0</v>
      </c>
      <c r="G104" s="673"/>
      <c r="H104" s="488"/>
    </row>
    <row r="105" spans="1:13" ht="30" customHeight="1">
      <c r="A105" s="479" t="s">
        <v>1093</v>
      </c>
      <c r="B105" s="480" t="s">
        <v>112</v>
      </c>
      <c r="C105" s="481">
        <f>'Anexa 7.3'!K935</f>
        <v>1256600</v>
      </c>
      <c r="D105" s="482">
        <f>'Anexa 7.3'!L935</f>
        <v>1256600</v>
      </c>
      <c r="E105" s="482">
        <f>'Anexa 7.3'!M935</f>
        <v>0</v>
      </c>
      <c r="F105" s="680">
        <f>'Anexa 7.3'!N935</f>
        <v>0</v>
      </c>
      <c r="G105" s="669"/>
      <c r="H105" s="483"/>
    </row>
    <row r="106" spans="1:13" ht="30" customHeight="1" thickBot="1">
      <c r="A106" s="448" t="s">
        <v>1094</v>
      </c>
      <c r="B106" s="449" t="s">
        <v>113</v>
      </c>
      <c r="C106" s="450">
        <f>'Anexa 7.3'!K945</f>
        <v>3090000</v>
      </c>
      <c r="D106" s="451">
        <f>'Anexa 7.3'!L945</f>
        <v>1155000</v>
      </c>
      <c r="E106" s="451">
        <f>'Anexa 7.3'!M945</f>
        <v>1935000</v>
      </c>
      <c r="F106" s="683">
        <f>'Anexa 7.3'!N945</f>
        <v>0</v>
      </c>
      <c r="G106" s="674"/>
      <c r="H106" s="453"/>
    </row>
    <row r="107" spans="1:13" ht="30" customHeight="1" thickBot="1">
      <c r="A107" s="695">
        <v>33</v>
      </c>
      <c r="B107" s="696" t="str">
        <f>'Anexa 7.3'!G949</f>
        <v>33. CHIUZA</v>
      </c>
      <c r="C107" s="697">
        <f>C108+C109</f>
        <v>294100</v>
      </c>
      <c r="D107" s="697">
        <f>D108+D109</f>
        <v>140500</v>
      </c>
      <c r="E107" s="697">
        <f>E108+E109</f>
        <v>153600</v>
      </c>
      <c r="F107" s="698">
        <f>F108+F109</f>
        <v>0</v>
      </c>
      <c r="G107" s="673"/>
      <c r="H107" s="488"/>
    </row>
    <row r="108" spans="1:13" ht="30" customHeight="1">
      <c r="A108" s="479" t="s">
        <v>1380</v>
      </c>
      <c r="B108" s="480" t="s">
        <v>112</v>
      </c>
      <c r="C108" s="481">
        <f>'Anexa 7.3'!K957</f>
        <v>294100</v>
      </c>
      <c r="D108" s="482">
        <f>'Anexa 7.3'!L957</f>
        <v>140500</v>
      </c>
      <c r="E108" s="482">
        <f>'Anexa 7.3'!M957</f>
        <v>153600</v>
      </c>
      <c r="F108" s="680">
        <f>'Anexa 7.3'!N957</f>
        <v>0</v>
      </c>
      <c r="G108" s="669"/>
      <c r="H108" s="483"/>
    </row>
    <row r="109" spans="1:13" ht="30" customHeight="1" thickBot="1">
      <c r="A109" s="448" t="s">
        <v>1381</v>
      </c>
      <c r="B109" s="449" t="s">
        <v>113</v>
      </c>
      <c r="C109" s="450">
        <v>0</v>
      </c>
      <c r="D109" s="451">
        <v>0</v>
      </c>
      <c r="E109" s="451">
        <v>0</v>
      </c>
      <c r="F109" s="683">
        <v>0</v>
      </c>
      <c r="G109" s="674"/>
      <c r="H109" s="453"/>
    </row>
    <row r="110" spans="1:13" ht="30" customHeight="1" thickBot="1">
      <c r="A110" s="695">
        <v>34</v>
      </c>
      <c r="B110" s="696" t="str">
        <f>'Anexa 7.3'!G961</f>
        <v>34. URIU</v>
      </c>
      <c r="C110" s="697">
        <f>C111+C112</f>
        <v>351300</v>
      </c>
      <c r="D110" s="697">
        <f>D111+D112</f>
        <v>281300</v>
      </c>
      <c r="E110" s="697">
        <f>E111+E112</f>
        <v>0</v>
      </c>
      <c r="F110" s="698">
        <f>F111+F112</f>
        <v>70000</v>
      </c>
      <c r="G110" s="673"/>
      <c r="H110" s="488"/>
    </row>
    <row r="111" spans="1:13" ht="30" customHeight="1">
      <c r="A111" s="479" t="s">
        <v>1095</v>
      </c>
      <c r="B111" s="480" t="s">
        <v>112</v>
      </c>
      <c r="C111" s="481">
        <f>'Anexa 7.3'!K972</f>
        <v>281300</v>
      </c>
      <c r="D111" s="482">
        <f>'Anexa 7.3'!L972</f>
        <v>281300</v>
      </c>
      <c r="E111" s="482">
        <f>'Anexa 7.3'!M972</f>
        <v>0</v>
      </c>
      <c r="F111" s="680">
        <f>'Anexa 7.3'!N972</f>
        <v>0</v>
      </c>
      <c r="G111" s="669"/>
      <c r="H111" s="483"/>
      <c r="K111" s="692"/>
      <c r="M111" s="694"/>
    </row>
    <row r="112" spans="1:13" ht="30" customHeight="1" thickBot="1">
      <c r="A112" s="448" t="s">
        <v>1096</v>
      </c>
      <c r="B112" s="449" t="s">
        <v>113</v>
      </c>
      <c r="C112" s="450">
        <f>'Anexa 7.3'!K978</f>
        <v>70000</v>
      </c>
      <c r="D112" s="451">
        <f>'Anexa 7.3'!L978</f>
        <v>0</v>
      </c>
      <c r="E112" s="451">
        <f>'Anexa 7.3'!M978</f>
        <v>0</v>
      </c>
      <c r="F112" s="683">
        <f>'Anexa 7.3'!N978</f>
        <v>70000</v>
      </c>
      <c r="G112" s="674"/>
      <c r="H112" s="453"/>
    </row>
    <row r="113" spans="1:12" ht="30" customHeight="1" thickBot="1">
      <c r="A113" s="695">
        <v>35</v>
      </c>
      <c r="B113" s="696" t="str">
        <f>'Anexa 7.3'!G982</f>
        <v>35. DUMITRIȚA</v>
      </c>
      <c r="C113" s="697">
        <f>C114+C115</f>
        <v>2947008</v>
      </c>
      <c r="D113" s="697">
        <f>D114+D115</f>
        <v>2011208</v>
      </c>
      <c r="E113" s="697">
        <f>E114+E115</f>
        <v>935800</v>
      </c>
      <c r="F113" s="698">
        <f>F114+F115</f>
        <v>0</v>
      </c>
      <c r="G113" s="673"/>
      <c r="H113" s="488"/>
    </row>
    <row r="114" spans="1:12" ht="30" customHeight="1">
      <c r="A114" s="479" t="s">
        <v>1097</v>
      </c>
      <c r="B114" s="480" t="s">
        <v>112</v>
      </c>
      <c r="C114" s="481">
        <f>'Anexa 7.3'!K989</f>
        <v>707208</v>
      </c>
      <c r="D114" s="482">
        <f>'Anexa 7.3'!L989</f>
        <v>707208</v>
      </c>
      <c r="E114" s="482">
        <v>0</v>
      </c>
      <c r="F114" s="680">
        <v>0</v>
      </c>
      <c r="G114" s="669"/>
      <c r="H114" s="483"/>
    </row>
    <row r="115" spans="1:12" ht="30" customHeight="1" thickBot="1">
      <c r="A115" s="448" t="s">
        <v>1098</v>
      </c>
      <c r="B115" s="449" t="s">
        <v>113</v>
      </c>
      <c r="C115" s="450">
        <f>'Anexa 7.3'!K1001</f>
        <v>2239800</v>
      </c>
      <c r="D115" s="451">
        <f>'Anexa 7.3'!L1001</f>
        <v>1304000</v>
      </c>
      <c r="E115" s="451">
        <f>'Anexa 7.3'!M1001</f>
        <v>935800</v>
      </c>
      <c r="F115" s="683">
        <f>'Anexa 7.3'!N1001</f>
        <v>0</v>
      </c>
      <c r="G115" s="674"/>
      <c r="H115" s="453"/>
    </row>
    <row r="116" spans="1:12" ht="30" customHeight="1" thickBot="1">
      <c r="A116" s="695">
        <v>36</v>
      </c>
      <c r="B116" s="696" t="str">
        <f>'Anexa 7.3'!G1005</f>
        <v>36. PRUNDU BÂRGĂULUI</v>
      </c>
      <c r="C116" s="697">
        <f>C117+C118</f>
        <v>385000</v>
      </c>
      <c r="D116" s="697">
        <f>D117+D118</f>
        <v>385000</v>
      </c>
      <c r="E116" s="697">
        <f>E117+E118</f>
        <v>0</v>
      </c>
      <c r="F116" s="698">
        <f>F117+F118</f>
        <v>0</v>
      </c>
      <c r="G116" s="673"/>
      <c r="H116" s="488"/>
    </row>
    <row r="117" spans="1:12" ht="30" customHeight="1">
      <c r="A117" s="479" t="s">
        <v>1099</v>
      </c>
      <c r="B117" s="480" t="s">
        <v>112</v>
      </c>
      <c r="C117" s="491">
        <v>0</v>
      </c>
      <c r="D117" s="666">
        <v>0</v>
      </c>
      <c r="E117" s="666">
        <v>0</v>
      </c>
      <c r="F117" s="483">
        <v>0</v>
      </c>
      <c r="G117" s="669"/>
      <c r="H117" s="483"/>
    </row>
    <row r="118" spans="1:12" ht="30" customHeight="1" thickBot="1">
      <c r="A118" s="448" t="s">
        <v>1100</v>
      </c>
      <c r="B118" s="449" t="s">
        <v>113</v>
      </c>
      <c r="C118" s="460">
        <f>'Anexa 7.3'!K1012</f>
        <v>385000</v>
      </c>
      <c r="D118" s="452">
        <f>'Anexa 7.3'!L1012</f>
        <v>385000</v>
      </c>
      <c r="E118" s="452">
        <f>'Anexa 7.3'!M1012</f>
        <v>0</v>
      </c>
      <c r="F118" s="453">
        <f>'Anexa 7.3'!N1012</f>
        <v>0</v>
      </c>
      <c r="G118" s="674"/>
      <c r="H118" s="453"/>
    </row>
    <row r="119" spans="1:12" s="320" customFormat="1" ht="30" customHeight="1" thickBot="1">
      <c r="A119" s="699" t="s">
        <v>1388</v>
      </c>
      <c r="B119" s="696" t="str">
        <f>'Anexa 7.3'!G1016</f>
        <v>37. REBRIȘOARA</v>
      </c>
      <c r="C119" s="697">
        <f>C120+C121</f>
        <v>1816000</v>
      </c>
      <c r="D119" s="697">
        <f>D120+D121</f>
        <v>1746000</v>
      </c>
      <c r="E119" s="697">
        <f>E120+E121</f>
        <v>70000</v>
      </c>
      <c r="F119" s="698">
        <f>F120+F121</f>
        <v>0</v>
      </c>
      <c r="G119" s="673"/>
      <c r="H119" s="488"/>
    </row>
    <row r="120" spans="1:12" s="320" customFormat="1" ht="30" customHeight="1">
      <c r="A120" s="479" t="s">
        <v>1101</v>
      </c>
      <c r="B120" s="480" t="s">
        <v>112</v>
      </c>
      <c r="C120" s="491">
        <f>'Anexa 7.3'!K1024</f>
        <v>668000</v>
      </c>
      <c r="D120" s="666">
        <f>'Anexa 7.3'!L1024</f>
        <v>668000</v>
      </c>
      <c r="E120" s="666">
        <f>'Anexa 7.3'!M1024</f>
        <v>0</v>
      </c>
      <c r="F120" s="483">
        <f>'Anexa 7.3'!N1024</f>
        <v>0</v>
      </c>
      <c r="G120" s="669"/>
      <c r="H120" s="483"/>
    </row>
    <row r="121" spans="1:12" s="320" customFormat="1" ht="30" customHeight="1" thickBot="1">
      <c r="A121" s="448" t="s">
        <v>1101</v>
      </c>
      <c r="B121" s="449" t="s">
        <v>113</v>
      </c>
      <c r="C121" s="460">
        <f>'Anexa 7.3'!K1032</f>
        <v>1148000</v>
      </c>
      <c r="D121" s="452">
        <f>'Anexa 7.3'!L1032</f>
        <v>1078000</v>
      </c>
      <c r="E121" s="452">
        <f>'Anexa 7.3'!M1032</f>
        <v>70000</v>
      </c>
      <c r="F121" s="453">
        <f>'Anexa 7.3'!N1032</f>
        <v>0</v>
      </c>
      <c r="G121" s="674"/>
      <c r="H121" s="651"/>
    </row>
    <row r="122" spans="1:12" s="320" customFormat="1" ht="30" customHeight="1" thickBot="1">
      <c r="A122" s="699" t="s">
        <v>1382</v>
      </c>
      <c r="B122" s="696" t="str">
        <f>'Anexa 7.3'!G1036</f>
        <v>38. FELDRU</v>
      </c>
      <c r="C122" s="697">
        <f>C123+C124</f>
        <v>2425813</v>
      </c>
      <c r="D122" s="697">
        <f>D123+D124</f>
        <v>2425813</v>
      </c>
      <c r="E122" s="697">
        <f>E123+E124</f>
        <v>0</v>
      </c>
      <c r="F122" s="698">
        <f>F123+F124</f>
        <v>0</v>
      </c>
      <c r="G122" s="673"/>
      <c r="H122" s="488"/>
    </row>
    <row r="123" spans="1:12" s="320" customFormat="1" ht="30" customHeight="1">
      <c r="A123" s="479" t="s">
        <v>1102</v>
      </c>
      <c r="B123" s="480" t="s">
        <v>112</v>
      </c>
      <c r="C123" s="491">
        <f>'Anexa 7.3'!K1042</f>
        <v>136000</v>
      </c>
      <c r="D123" s="666">
        <f>'Anexa 7.3'!L1042</f>
        <v>136000</v>
      </c>
      <c r="E123" s="666">
        <f>'Anexa 7.3'!M1042</f>
        <v>0</v>
      </c>
      <c r="F123" s="483">
        <f>'Anexa 7.3'!N1042</f>
        <v>0</v>
      </c>
      <c r="G123" s="669"/>
      <c r="H123" s="483"/>
      <c r="J123" s="694"/>
    </row>
    <row r="124" spans="1:12" s="320" customFormat="1" ht="30" customHeight="1" thickBot="1">
      <c r="A124" s="448" t="s">
        <v>1103</v>
      </c>
      <c r="B124" s="449" t="s">
        <v>113</v>
      </c>
      <c r="C124" s="460">
        <f>'Anexa 7.3'!K1064</f>
        <v>2289813</v>
      </c>
      <c r="D124" s="452">
        <f>'Anexa 7.3'!L1064</f>
        <v>2289813</v>
      </c>
      <c r="E124" s="452">
        <f>'Anexa 7.3'!M1064</f>
        <v>0</v>
      </c>
      <c r="F124" s="453">
        <f>'Anexa 7.3'!N1064</f>
        <v>0</v>
      </c>
      <c r="G124" s="674"/>
      <c r="H124" s="453"/>
    </row>
    <row r="125" spans="1:12" s="320" customFormat="1" ht="30" customHeight="1" thickBot="1">
      <c r="A125" s="699" t="s">
        <v>1104</v>
      </c>
      <c r="B125" s="696" t="str">
        <f>'Anexa 7.3'!G1068</f>
        <v>39. SALVA</v>
      </c>
      <c r="C125" s="697">
        <f>C126+C127</f>
        <v>936000</v>
      </c>
      <c r="D125" s="697">
        <f>D126+D127</f>
        <v>936000</v>
      </c>
      <c r="E125" s="697">
        <f>E126+E127</f>
        <v>0</v>
      </c>
      <c r="F125" s="698">
        <f>F126+F127</f>
        <v>0</v>
      </c>
      <c r="G125" s="673"/>
      <c r="H125" s="488"/>
      <c r="L125" s="692"/>
    </row>
    <row r="126" spans="1:12" s="320" customFormat="1" ht="30" customHeight="1">
      <c r="A126" s="479" t="s">
        <v>1105</v>
      </c>
      <c r="B126" s="480" t="s">
        <v>112</v>
      </c>
      <c r="C126" s="491">
        <f>'Anexa 7.3'!K1074</f>
        <v>320000</v>
      </c>
      <c r="D126" s="666">
        <f>'Anexa 7.3'!L1074</f>
        <v>320000</v>
      </c>
      <c r="E126" s="666">
        <f>'Anexa 7.3'!M1074</f>
        <v>0</v>
      </c>
      <c r="F126" s="483">
        <f>'Anexa 7.3'!N1074</f>
        <v>0</v>
      </c>
      <c r="G126" s="669"/>
      <c r="H126" s="483"/>
    </row>
    <row r="127" spans="1:12" s="320" customFormat="1" ht="30" customHeight="1" thickBot="1">
      <c r="A127" s="448" t="s">
        <v>1106</v>
      </c>
      <c r="B127" s="449" t="s">
        <v>113</v>
      </c>
      <c r="C127" s="460">
        <f>'Anexa 7.3'!K1080</f>
        <v>616000</v>
      </c>
      <c r="D127" s="452">
        <f>'Anexa 7.3'!L1080</f>
        <v>616000</v>
      </c>
      <c r="E127" s="452">
        <f>'Anexa 7.3'!M1080</f>
        <v>0</v>
      </c>
      <c r="F127" s="453">
        <f>'Anexa 7.3'!N1080</f>
        <v>0</v>
      </c>
      <c r="G127" s="674"/>
      <c r="H127" s="453"/>
    </row>
    <row r="128" spans="1:12" s="320" customFormat="1" ht="30" customHeight="1" thickBot="1">
      <c r="A128" s="699" t="s">
        <v>1107</v>
      </c>
      <c r="B128" s="696" t="str">
        <f>'Anexa 7.3'!G1084</f>
        <v>40. CĂIANU MIC</v>
      </c>
      <c r="C128" s="697">
        <f>C129+C130</f>
        <v>5379800</v>
      </c>
      <c r="D128" s="697">
        <f>D129+D130</f>
        <v>4580300</v>
      </c>
      <c r="E128" s="697">
        <f>E129+E130</f>
        <v>799500</v>
      </c>
      <c r="F128" s="698">
        <f>F129+F130</f>
        <v>0</v>
      </c>
      <c r="G128" s="673"/>
      <c r="H128" s="488"/>
      <c r="I128" s="652"/>
    </row>
    <row r="129" spans="1:14" s="320" customFormat="1" ht="30" customHeight="1">
      <c r="A129" s="479" t="s">
        <v>1108</v>
      </c>
      <c r="B129" s="480" t="s">
        <v>112</v>
      </c>
      <c r="C129" s="491">
        <f>'Anexa 7.3'!K1096</f>
        <v>1472900</v>
      </c>
      <c r="D129" s="666">
        <f>'Anexa 7.3'!L1096</f>
        <v>1472900</v>
      </c>
      <c r="E129" s="666">
        <f>'Anexa 7.3'!M1096</f>
        <v>0</v>
      </c>
      <c r="F129" s="483">
        <f>'Anexa 7.3'!N1096</f>
        <v>0</v>
      </c>
      <c r="G129" s="669"/>
      <c r="H129" s="483"/>
      <c r="L129" s="692"/>
    </row>
    <row r="130" spans="1:14" s="320" customFormat="1" ht="30" customHeight="1" thickBot="1">
      <c r="A130" s="448" t="s">
        <v>1109</v>
      </c>
      <c r="B130" s="449" t="s">
        <v>113</v>
      </c>
      <c r="C130" s="460">
        <f>'Anexa 7.3'!K1109</f>
        <v>3906900</v>
      </c>
      <c r="D130" s="452">
        <f>'Anexa 7.3'!L1109</f>
        <v>3107400</v>
      </c>
      <c r="E130" s="452">
        <f>'Anexa 7.3'!M1109</f>
        <v>799500</v>
      </c>
      <c r="F130" s="453">
        <f>'Anexa 7.3'!N1109</f>
        <v>0</v>
      </c>
      <c r="G130" s="674"/>
      <c r="H130" s="453"/>
    </row>
    <row r="131" spans="1:14" s="320" customFormat="1" ht="30" customHeight="1" thickBot="1">
      <c r="A131" s="699" t="s">
        <v>1110</v>
      </c>
      <c r="B131" s="696" t="str">
        <f>'Anexa 7.3'!G1113</f>
        <v>41. CICEU - GIURGEȘTI</v>
      </c>
      <c r="C131" s="697">
        <f>C132+C133</f>
        <v>3065200</v>
      </c>
      <c r="D131" s="697">
        <f>D132+D133</f>
        <v>822000</v>
      </c>
      <c r="E131" s="697">
        <f>E132+E133</f>
        <v>2243200</v>
      </c>
      <c r="F131" s="698">
        <f>F132+F133</f>
        <v>0</v>
      </c>
      <c r="G131" s="673"/>
      <c r="H131" s="488"/>
    </row>
    <row r="132" spans="1:14" s="320" customFormat="1" ht="30" customHeight="1">
      <c r="A132" s="479" t="s">
        <v>1111</v>
      </c>
      <c r="B132" s="480" t="s">
        <v>112</v>
      </c>
      <c r="C132" s="491">
        <f>'Anexa 7.3'!K1121</f>
        <v>822000</v>
      </c>
      <c r="D132" s="666">
        <f>'Anexa 7.3'!L1121</f>
        <v>822000</v>
      </c>
      <c r="E132" s="666">
        <f>'Anexa 7.3'!M1121</f>
        <v>0</v>
      </c>
      <c r="F132" s="483">
        <f>'Anexa 7.3'!N1121</f>
        <v>0</v>
      </c>
      <c r="G132" s="669"/>
      <c r="H132" s="483"/>
    </row>
    <row r="133" spans="1:14" s="320" customFormat="1" ht="30" customHeight="1" thickBot="1">
      <c r="A133" s="448" t="s">
        <v>1112</v>
      </c>
      <c r="B133" s="449" t="s">
        <v>113</v>
      </c>
      <c r="C133" s="460">
        <f>'Anexa 7.3'!K1130</f>
        <v>2243200</v>
      </c>
      <c r="D133" s="452">
        <f>'Anexa 7.3'!L1130</f>
        <v>0</v>
      </c>
      <c r="E133" s="452">
        <f>'Anexa 7.3'!M1130</f>
        <v>2243200</v>
      </c>
      <c r="F133" s="453">
        <f>'Anexa 7.3'!N1130</f>
        <v>0</v>
      </c>
      <c r="G133" s="674"/>
      <c r="H133" s="453"/>
    </row>
    <row r="134" spans="1:14" s="320" customFormat="1" ht="30" customHeight="1" thickBot="1">
      <c r="A134" s="699" t="s">
        <v>1113</v>
      </c>
      <c r="B134" s="696" t="str">
        <f>'Anexa 7.3'!G1134</f>
        <v>42. COȘBUC</v>
      </c>
      <c r="C134" s="697">
        <f>C135+C136</f>
        <v>500000</v>
      </c>
      <c r="D134" s="697">
        <f>D135+D136</f>
        <v>500000</v>
      </c>
      <c r="E134" s="697">
        <f>E135+E136</f>
        <v>0</v>
      </c>
      <c r="F134" s="698">
        <f>F135+F136</f>
        <v>0</v>
      </c>
      <c r="G134" s="673"/>
      <c r="H134" s="488"/>
    </row>
    <row r="135" spans="1:14" s="320" customFormat="1" ht="30" customHeight="1">
      <c r="A135" s="479" t="s">
        <v>1114</v>
      </c>
      <c r="B135" s="480" t="s">
        <v>112</v>
      </c>
      <c r="C135" s="491">
        <f>'Anexa 7.3'!K1140</f>
        <v>192000</v>
      </c>
      <c r="D135" s="666">
        <f>'Anexa 7.3'!L1140</f>
        <v>192000</v>
      </c>
      <c r="E135" s="666">
        <f>'Anexa 7.3'!M1140</f>
        <v>0</v>
      </c>
      <c r="F135" s="483">
        <f>'Anexa 7.3'!N1140</f>
        <v>0</v>
      </c>
      <c r="G135" s="669"/>
      <c r="H135" s="483"/>
      <c r="L135" s="692"/>
    </row>
    <row r="136" spans="1:14" s="320" customFormat="1" ht="30" customHeight="1" thickBot="1">
      <c r="A136" s="448" t="s">
        <v>1115</v>
      </c>
      <c r="B136" s="449" t="s">
        <v>113</v>
      </c>
      <c r="C136" s="460">
        <f>'Anexa 7.3'!K1146</f>
        <v>308000</v>
      </c>
      <c r="D136" s="452">
        <f>'Anexa 7.3'!L1146</f>
        <v>308000</v>
      </c>
      <c r="E136" s="452">
        <f>'Anexa 7.3'!M1146</f>
        <v>0</v>
      </c>
      <c r="F136" s="453">
        <f>'Anexa 7.3'!N1146</f>
        <v>0</v>
      </c>
      <c r="G136" s="674"/>
      <c r="H136" s="453"/>
      <c r="N136" s="694"/>
    </row>
    <row r="137" spans="1:14" s="320" customFormat="1" ht="30" customHeight="1" thickBot="1">
      <c r="A137" s="699" t="s">
        <v>1116</v>
      </c>
      <c r="B137" s="696" t="str">
        <f>'Anexa 7.3'!G1150</f>
        <v>43. ILVA MARE</v>
      </c>
      <c r="C137" s="697">
        <f>C138+C139</f>
        <v>1670000</v>
      </c>
      <c r="D137" s="697">
        <f>D138+D139</f>
        <v>1670000</v>
      </c>
      <c r="E137" s="697">
        <f>E138+E139</f>
        <v>0</v>
      </c>
      <c r="F137" s="698">
        <f>F138+F139</f>
        <v>0</v>
      </c>
      <c r="G137" s="673"/>
      <c r="H137" s="488"/>
    </row>
    <row r="138" spans="1:14" s="320" customFormat="1" ht="30" customHeight="1">
      <c r="A138" s="479" t="s">
        <v>1117</v>
      </c>
      <c r="B138" s="480" t="s">
        <v>112</v>
      </c>
      <c r="C138" s="491">
        <f>'Anexa 7.3'!K1157</f>
        <v>592000</v>
      </c>
      <c r="D138" s="666">
        <f>'Anexa 7.3'!L1157</f>
        <v>592000</v>
      </c>
      <c r="E138" s="666">
        <f>'Anexa 7.3'!M1157</f>
        <v>0</v>
      </c>
      <c r="F138" s="483">
        <f>'Anexa 7.3'!N1157</f>
        <v>0</v>
      </c>
      <c r="G138" s="669"/>
      <c r="H138" s="483"/>
    </row>
    <row r="139" spans="1:14" s="320" customFormat="1" ht="30" customHeight="1" thickBot="1">
      <c r="A139" s="448" t="s">
        <v>1118</v>
      </c>
      <c r="B139" s="449" t="s">
        <v>113</v>
      </c>
      <c r="C139" s="460">
        <f>'Anexa 7.3'!K1163</f>
        <v>1078000</v>
      </c>
      <c r="D139" s="452">
        <f>'Anexa 7.3'!L1163</f>
        <v>1078000</v>
      </c>
      <c r="E139" s="452">
        <f>'Anexa 7.3'!M1163</f>
        <v>0</v>
      </c>
      <c r="F139" s="453">
        <f>'Anexa 7.3'!N1163</f>
        <v>0</v>
      </c>
      <c r="G139" s="674"/>
      <c r="H139" s="453"/>
    </row>
    <row r="140" spans="1:14" s="320" customFormat="1" ht="30" customHeight="1" thickBot="1">
      <c r="A140" s="699" t="s">
        <v>1119</v>
      </c>
      <c r="B140" s="696" t="str">
        <f>'Anexa 7.3'!G1167</f>
        <v>44. LEȘU</v>
      </c>
      <c r="C140" s="697">
        <f>C141+C142</f>
        <v>3185000</v>
      </c>
      <c r="D140" s="697">
        <f>D141+D142</f>
        <v>1159000</v>
      </c>
      <c r="E140" s="697">
        <f>E141+E142</f>
        <v>2026000</v>
      </c>
      <c r="F140" s="698">
        <f>F141+F142</f>
        <v>0</v>
      </c>
      <c r="G140" s="673"/>
      <c r="H140" s="488"/>
    </row>
    <row r="141" spans="1:14" s="320" customFormat="1" ht="30" customHeight="1">
      <c r="A141" s="479" t="s">
        <v>1120</v>
      </c>
      <c r="B141" s="480" t="s">
        <v>112</v>
      </c>
      <c r="C141" s="491">
        <f>'Anexa 7.3'!K1177</f>
        <v>1159000</v>
      </c>
      <c r="D141" s="666">
        <f>'Anexa 7.3'!L1177</f>
        <v>1159000</v>
      </c>
      <c r="E141" s="666">
        <f>'Anexa 7.3'!M1177</f>
        <v>0</v>
      </c>
      <c r="F141" s="483">
        <f>'Anexa 7.3'!N1177</f>
        <v>0</v>
      </c>
      <c r="G141" s="669"/>
      <c r="H141" s="483"/>
    </row>
    <row r="142" spans="1:14" s="320" customFormat="1" ht="30" customHeight="1" thickBot="1">
      <c r="A142" s="448" t="s">
        <v>1121</v>
      </c>
      <c r="B142" s="449" t="s">
        <v>113</v>
      </c>
      <c r="C142" s="460">
        <f>'Anexa 7.3'!K1185</f>
        <v>2026000</v>
      </c>
      <c r="D142" s="452">
        <f>'Anexa 7.3'!L1185</f>
        <v>0</v>
      </c>
      <c r="E142" s="452">
        <f>'Anexa 7.3'!M1185</f>
        <v>2026000</v>
      </c>
      <c r="F142" s="453">
        <f>'Anexa 7.3'!N1185</f>
        <v>0</v>
      </c>
      <c r="G142" s="674"/>
      <c r="H142" s="453"/>
    </row>
    <row r="143" spans="1:14" s="320" customFormat="1" ht="30" customHeight="1" thickBot="1">
      <c r="A143" s="699" t="s">
        <v>1122</v>
      </c>
      <c r="B143" s="696" t="str">
        <f>'Anexa 7.3'!G1189</f>
        <v>45. LUNCA ILVEI</v>
      </c>
      <c r="C143" s="697">
        <f>C144+C145</f>
        <v>686000</v>
      </c>
      <c r="D143" s="697">
        <f>D144+D145</f>
        <v>686000</v>
      </c>
      <c r="E143" s="697">
        <f>E144+E145</f>
        <v>0</v>
      </c>
      <c r="F143" s="698">
        <f>F144+F145</f>
        <v>0</v>
      </c>
      <c r="G143" s="673"/>
      <c r="H143" s="488"/>
    </row>
    <row r="144" spans="1:14" s="320" customFormat="1" ht="30" customHeight="1">
      <c r="A144" s="479" t="s">
        <v>1123</v>
      </c>
      <c r="B144" s="480" t="s">
        <v>112</v>
      </c>
      <c r="C144" s="491">
        <f>'Anexa 7.3'!K1195</f>
        <v>224000</v>
      </c>
      <c r="D144" s="666">
        <f>'Anexa 7.3'!L1195</f>
        <v>224000</v>
      </c>
      <c r="E144" s="666">
        <f>'Anexa 7.3'!M1195</f>
        <v>0</v>
      </c>
      <c r="F144" s="483">
        <f>'Anexa 7.3'!N1195</f>
        <v>0</v>
      </c>
      <c r="G144" s="669"/>
      <c r="H144" s="483"/>
      <c r="L144" s="652"/>
    </row>
    <row r="145" spans="1:14" s="320" customFormat="1" ht="30" customHeight="1" thickBot="1">
      <c r="A145" s="448" t="s">
        <v>1124</v>
      </c>
      <c r="B145" s="449" t="s">
        <v>113</v>
      </c>
      <c r="C145" s="460">
        <f>'Anexa 7.3'!K1201</f>
        <v>462000</v>
      </c>
      <c r="D145" s="452">
        <f>'Anexa 7.3'!L1201</f>
        <v>462000</v>
      </c>
      <c r="E145" s="452">
        <f>'Anexa 7.3'!M1201</f>
        <v>0</v>
      </c>
      <c r="F145" s="453">
        <f>'Anexa 7.3'!N1201</f>
        <v>0</v>
      </c>
      <c r="G145" s="674"/>
      <c r="H145" s="453"/>
    </row>
    <row r="146" spans="1:14" s="320" customFormat="1" ht="30" customHeight="1" thickBot="1">
      <c r="A146" s="699" t="s">
        <v>1125</v>
      </c>
      <c r="B146" s="696" t="str">
        <f>'Anexa 7.3'!G1205</f>
        <v>46. NEGRILEȘTI</v>
      </c>
      <c r="C146" s="697">
        <f>C147+C148</f>
        <v>5343510</v>
      </c>
      <c r="D146" s="697">
        <f>D147+D148</f>
        <v>1865000</v>
      </c>
      <c r="E146" s="697">
        <f>E147+E148</f>
        <v>3478510</v>
      </c>
      <c r="F146" s="698">
        <f>F147+F148</f>
        <v>0</v>
      </c>
      <c r="G146" s="673"/>
      <c r="H146" s="488"/>
    </row>
    <row r="147" spans="1:14" s="320" customFormat="1" ht="30" customHeight="1">
      <c r="A147" s="479" t="s">
        <v>1127</v>
      </c>
      <c r="B147" s="480" t="s">
        <v>112</v>
      </c>
      <c r="C147" s="491">
        <f>'Anexa 7.3'!K1217</f>
        <v>2847510</v>
      </c>
      <c r="D147" s="666">
        <f>'Anexa 7.3'!L1217</f>
        <v>1865000</v>
      </c>
      <c r="E147" s="666">
        <f>'Anexa 7.3'!M1217</f>
        <v>982510</v>
      </c>
      <c r="F147" s="483">
        <f>'Anexa 7.3'!N1217</f>
        <v>0</v>
      </c>
      <c r="G147" s="669"/>
      <c r="H147" s="483"/>
    </row>
    <row r="148" spans="1:14" s="320" customFormat="1" ht="30" customHeight="1" thickBot="1">
      <c r="A148" s="448" t="s">
        <v>1126</v>
      </c>
      <c r="B148" s="449" t="s">
        <v>113</v>
      </c>
      <c r="C148" s="460">
        <f>'Anexa 7.3'!K1229</f>
        <v>2496000</v>
      </c>
      <c r="D148" s="452">
        <f>'Anexa 7.3'!L1229</f>
        <v>0</v>
      </c>
      <c r="E148" s="452">
        <f>'Anexa 7.3'!M1229</f>
        <v>2496000</v>
      </c>
      <c r="F148" s="453">
        <f>'Anexa 7.3'!N1229</f>
        <v>0</v>
      </c>
      <c r="G148" s="674"/>
      <c r="H148" s="453"/>
      <c r="J148" s="694"/>
    </row>
    <row r="149" spans="1:14" s="320" customFormat="1" ht="30" customHeight="1" thickBot="1">
      <c r="A149" s="699" t="s">
        <v>1331</v>
      </c>
      <c r="B149" s="696" t="str">
        <f>'Anexa 7.3'!G1233</f>
        <v>47. NIMIGEA</v>
      </c>
      <c r="C149" s="697">
        <f>C150+C151</f>
        <v>6849400</v>
      </c>
      <c r="D149" s="697">
        <f>D150+D151</f>
        <v>2845300</v>
      </c>
      <c r="E149" s="697">
        <f>E150+E151</f>
        <v>4004100</v>
      </c>
      <c r="F149" s="698">
        <f>F150+F151</f>
        <v>0</v>
      </c>
      <c r="G149" s="673"/>
      <c r="H149" s="488"/>
    </row>
    <row r="150" spans="1:14" s="320" customFormat="1" ht="30" customHeight="1">
      <c r="A150" s="479" t="s">
        <v>1332</v>
      </c>
      <c r="B150" s="480" t="s">
        <v>112</v>
      </c>
      <c r="C150" s="491">
        <f>'Anexa 7.3'!K1242</f>
        <v>425700</v>
      </c>
      <c r="D150" s="666">
        <f>'Anexa 7.3'!L1242</f>
        <v>425700</v>
      </c>
      <c r="E150" s="666">
        <f>'Anexa 7.3'!M1242</f>
        <v>0</v>
      </c>
      <c r="F150" s="483">
        <f>'Anexa 7.3'!N1242</f>
        <v>0</v>
      </c>
      <c r="G150" s="669"/>
      <c r="H150" s="483"/>
    </row>
    <row r="151" spans="1:14" s="320" customFormat="1" ht="30" customHeight="1" thickBot="1">
      <c r="A151" s="448" t="s">
        <v>1333</v>
      </c>
      <c r="B151" s="449" t="s">
        <v>113</v>
      </c>
      <c r="C151" s="460">
        <f>'Anexa 7.3'!K1261</f>
        <v>6423700</v>
      </c>
      <c r="D151" s="452">
        <f>'Anexa 7.3'!L1261</f>
        <v>2419600</v>
      </c>
      <c r="E151" s="452">
        <f>'Anexa 7.3'!M1261</f>
        <v>4004100</v>
      </c>
      <c r="F151" s="453">
        <f>'Anexa 7.3'!N1261</f>
        <v>0</v>
      </c>
      <c r="G151" s="674"/>
      <c r="H151" s="453"/>
    </row>
    <row r="152" spans="1:14" s="320" customFormat="1" ht="30" customHeight="1" thickBot="1">
      <c r="A152" s="699" t="s">
        <v>1334</v>
      </c>
      <c r="B152" s="696" t="str">
        <f>'Anexa 7.3'!G1265</f>
        <v>48. REBRA</v>
      </c>
      <c r="C152" s="697">
        <f>C153+C154</f>
        <v>165000</v>
      </c>
      <c r="D152" s="697">
        <f>D153+D154</f>
        <v>165000</v>
      </c>
      <c r="E152" s="697">
        <f>E153+E154</f>
        <v>0</v>
      </c>
      <c r="F152" s="698">
        <f>F153+F154</f>
        <v>0</v>
      </c>
      <c r="G152" s="678"/>
      <c r="H152" s="472"/>
    </row>
    <row r="153" spans="1:14" s="320" customFormat="1" ht="30" customHeight="1">
      <c r="A153" s="479" t="s">
        <v>1335</v>
      </c>
      <c r="B153" s="480" t="s">
        <v>112</v>
      </c>
      <c r="C153" s="491">
        <v>0</v>
      </c>
      <c r="D153" s="686">
        <v>0</v>
      </c>
      <c r="E153" s="686">
        <v>0</v>
      </c>
      <c r="F153" s="483">
        <v>0</v>
      </c>
      <c r="G153" s="672"/>
      <c r="H153" s="447"/>
      <c r="K153" s="692"/>
    </row>
    <row r="154" spans="1:14" s="320" customFormat="1" ht="30" customHeight="1" thickBot="1">
      <c r="A154" s="448" t="s">
        <v>1336</v>
      </c>
      <c r="B154" s="449" t="s">
        <v>113</v>
      </c>
      <c r="C154" s="460">
        <f>'Anexa 7.3'!K1271</f>
        <v>165000</v>
      </c>
      <c r="D154" s="452">
        <f>'Anexa 7.3'!L1271</f>
        <v>165000</v>
      </c>
      <c r="E154" s="452">
        <f>'Anexa 7.3'!M1271</f>
        <v>0</v>
      </c>
      <c r="F154" s="453">
        <f>'Anexa 7.3'!N1271</f>
        <v>0</v>
      </c>
      <c r="G154" s="674"/>
      <c r="H154" s="453"/>
    </row>
    <row r="155" spans="1:14" s="320" customFormat="1" ht="30" customHeight="1" thickBot="1">
      <c r="A155" s="699" t="s">
        <v>1128</v>
      </c>
      <c r="B155" s="696" t="str">
        <f>'Anexa 7.3'!G1275</f>
        <v>49. RUNCU SALVEI</v>
      </c>
      <c r="C155" s="697">
        <f>C156+C157</f>
        <v>1332500</v>
      </c>
      <c r="D155" s="697">
        <f>D156+D157</f>
        <v>128000</v>
      </c>
      <c r="E155" s="697">
        <f>E156+E157</f>
        <v>1204500</v>
      </c>
      <c r="F155" s="698">
        <f>F156+F157</f>
        <v>0</v>
      </c>
      <c r="G155" s="673"/>
      <c r="H155" s="488"/>
      <c r="N155" s="694"/>
    </row>
    <row r="156" spans="1:14" s="320" customFormat="1" ht="30" customHeight="1">
      <c r="A156" s="479" t="s">
        <v>1129</v>
      </c>
      <c r="B156" s="480" t="s">
        <v>112</v>
      </c>
      <c r="C156" s="491">
        <f>'Anexa 7.3'!K1281</f>
        <v>128000</v>
      </c>
      <c r="D156" s="666">
        <f>'Anexa 7.3'!L1281</f>
        <v>128000</v>
      </c>
      <c r="E156" s="666">
        <f>'Anexa 7.3'!M1281</f>
        <v>0</v>
      </c>
      <c r="F156" s="483">
        <f>'Anexa 7.3'!N1281</f>
        <v>0</v>
      </c>
      <c r="G156" s="669"/>
      <c r="H156" s="483"/>
      <c r="J156" s="652"/>
    </row>
    <row r="157" spans="1:14" s="320" customFormat="1" ht="30" customHeight="1" thickBot="1">
      <c r="A157" s="448" t="s">
        <v>1130</v>
      </c>
      <c r="B157" s="449" t="s">
        <v>113</v>
      </c>
      <c r="C157" s="460">
        <f>'Anexa 7.3'!K1288</f>
        <v>1204500</v>
      </c>
      <c r="D157" s="452">
        <f>'Anexa 7.3'!L1288</f>
        <v>0</v>
      </c>
      <c r="E157" s="452">
        <f>'Anexa 7.3'!M1288</f>
        <v>1204500</v>
      </c>
      <c r="F157" s="453">
        <f>'Anexa 7.3'!N1288</f>
        <v>0</v>
      </c>
      <c r="G157" s="674"/>
      <c r="H157" s="453"/>
    </row>
    <row r="158" spans="1:14" s="320" customFormat="1" ht="30" customHeight="1" thickBot="1">
      <c r="A158" s="699" t="s">
        <v>1131</v>
      </c>
      <c r="B158" s="696" t="str">
        <f>'Anexa 7.3'!G1292</f>
        <v>50. SPERMEZEU</v>
      </c>
      <c r="C158" s="697">
        <f>C159+C160</f>
        <v>8034700</v>
      </c>
      <c r="D158" s="697">
        <f>D159+D160</f>
        <v>3432700</v>
      </c>
      <c r="E158" s="697">
        <f>E159+E160</f>
        <v>4602000</v>
      </c>
      <c r="F158" s="698">
        <f>F159+F160</f>
        <v>0</v>
      </c>
      <c r="G158" s="673"/>
      <c r="H158" s="488"/>
    </row>
    <row r="159" spans="1:14" s="320" customFormat="1" ht="30" customHeight="1">
      <c r="A159" s="479" t="s">
        <v>1132</v>
      </c>
      <c r="B159" s="480" t="s">
        <v>112</v>
      </c>
      <c r="C159" s="491">
        <f>'Anexa 7.3'!K1314</f>
        <v>3608700</v>
      </c>
      <c r="D159" s="666">
        <f>'Anexa 7.3'!L1314</f>
        <v>3432700</v>
      </c>
      <c r="E159" s="666">
        <f>'Anexa 7.3'!M1314</f>
        <v>176000</v>
      </c>
      <c r="F159" s="483">
        <f>'Anexa 7.3'!N1314</f>
        <v>0</v>
      </c>
      <c r="G159" s="669"/>
      <c r="H159" s="483"/>
    </row>
    <row r="160" spans="1:14" s="320" customFormat="1" ht="30" customHeight="1" thickBot="1">
      <c r="A160" s="448" t="s">
        <v>1133</v>
      </c>
      <c r="B160" s="449" t="s">
        <v>113</v>
      </c>
      <c r="C160" s="460">
        <f>'Anexa 7.3'!K1330</f>
        <v>4426000</v>
      </c>
      <c r="D160" s="452">
        <f>'Anexa 7.3'!L1330</f>
        <v>0</v>
      </c>
      <c r="E160" s="452">
        <f>'Anexa 7.3'!M1330</f>
        <v>4426000</v>
      </c>
      <c r="F160" s="453">
        <f>'Anexa 7.3'!N1330</f>
        <v>0</v>
      </c>
      <c r="G160" s="674"/>
      <c r="H160" s="453"/>
    </row>
    <row r="161" spans="1:12" s="320" customFormat="1" ht="30" customHeight="1" thickBot="1">
      <c r="A161" s="699" t="s">
        <v>1337</v>
      </c>
      <c r="B161" s="696" t="str">
        <f>'Anexa 7.3'!G1334</f>
        <v>51. ȘIEU - ODORHEI</v>
      </c>
      <c r="C161" s="697">
        <f>C162+C163</f>
        <v>2029999.92</v>
      </c>
      <c r="D161" s="697">
        <f>D162+D163</f>
        <v>0</v>
      </c>
      <c r="E161" s="697">
        <f>E162+E163</f>
        <v>2029999.92</v>
      </c>
      <c r="F161" s="698">
        <f>F162+F163</f>
        <v>0</v>
      </c>
      <c r="G161" s="673"/>
      <c r="H161" s="488"/>
    </row>
    <row r="162" spans="1:12" s="320" customFormat="1" ht="30" customHeight="1">
      <c r="A162" s="479" t="s">
        <v>1338</v>
      </c>
      <c r="B162" s="480" t="s">
        <v>112</v>
      </c>
      <c r="C162" s="491">
        <v>0</v>
      </c>
      <c r="D162" s="666">
        <v>0</v>
      </c>
      <c r="E162" s="666">
        <v>0</v>
      </c>
      <c r="F162" s="483">
        <v>0</v>
      </c>
      <c r="G162" s="669"/>
      <c r="H162" s="483"/>
      <c r="L162" s="692"/>
    </row>
    <row r="163" spans="1:12" s="320" customFormat="1" ht="30" customHeight="1" thickBot="1">
      <c r="A163" s="448" t="s">
        <v>1339</v>
      </c>
      <c r="B163" s="449" t="s">
        <v>113</v>
      </c>
      <c r="C163" s="460">
        <f>'Anexa 7.3'!K1348</f>
        <v>2029999.92</v>
      </c>
      <c r="D163" s="452">
        <f>'Anexa 7.3'!L1348</f>
        <v>0</v>
      </c>
      <c r="E163" s="452">
        <f>'Anexa 7.3'!M1348</f>
        <v>2029999.92</v>
      </c>
      <c r="F163" s="453">
        <f>'Anexa 7.3'!N1348</f>
        <v>0</v>
      </c>
      <c r="G163" s="674"/>
      <c r="H163" s="453"/>
    </row>
    <row r="164" spans="1:12" s="320" customFormat="1" ht="30" customHeight="1" thickBot="1">
      <c r="A164" s="699" t="s">
        <v>1134</v>
      </c>
      <c r="B164" s="696" t="str">
        <f>'Anexa 7.3'!G1352</f>
        <v>52. TELCIU</v>
      </c>
      <c r="C164" s="697">
        <f>C165+C166</f>
        <v>3762980</v>
      </c>
      <c r="D164" s="697">
        <f>D165+D166</f>
        <v>1642480</v>
      </c>
      <c r="E164" s="697">
        <f>E165+E166</f>
        <v>2120500</v>
      </c>
      <c r="F164" s="698">
        <f>F165+F166</f>
        <v>0</v>
      </c>
      <c r="G164" s="673"/>
      <c r="H164" s="488"/>
    </row>
    <row r="165" spans="1:12" s="320" customFormat="1" ht="30" customHeight="1">
      <c r="A165" s="479" t="s">
        <v>1135</v>
      </c>
      <c r="B165" s="480" t="s">
        <v>112</v>
      </c>
      <c r="C165" s="491">
        <f>'Anexa 7.3'!K1363</f>
        <v>1200480</v>
      </c>
      <c r="D165" s="666">
        <f>'Anexa 7.3'!L1363</f>
        <v>1200480</v>
      </c>
      <c r="E165" s="666">
        <f>'Anexa 7.3'!M1363</f>
        <v>0</v>
      </c>
      <c r="F165" s="483">
        <f>'Anexa 7.3'!N1363</f>
        <v>0</v>
      </c>
      <c r="G165" s="669"/>
      <c r="H165" s="483"/>
    </row>
    <row r="166" spans="1:12" s="320" customFormat="1" ht="30" customHeight="1" thickBot="1">
      <c r="A166" s="448" t="s">
        <v>1136</v>
      </c>
      <c r="B166" s="449" t="s">
        <v>113</v>
      </c>
      <c r="C166" s="460">
        <f>'Anexa 7.3'!K1375</f>
        <v>2562500</v>
      </c>
      <c r="D166" s="452">
        <f>'Anexa 7.3'!L1375</f>
        <v>442000</v>
      </c>
      <c r="E166" s="452">
        <f>'Anexa 7.3'!M1377</f>
        <v>2120500</v>
      </c>
      <c r="F166" s="453">
        <f>'Anexa 7.3'!N1375</f>
        <v>0</v>
      </c>
      <c r="G166" s="674"/>
      <c r="H166" s="453"/>
    </row>
    <row r="167" spans="1:12" s="320" customFormat="1" ht="30" customHeight="1" thickBot="1">
      <c r="A167" s="699" t="s">
        <v>1340</v>
      </c>
      <c r="B167" s="696" t="str">
        <f>'Anexa 7.3'!G1379</f>
        <v>53. TÂRLIȘUA</v>
      </c>
      <c r="C167" s="697">
        <f>C168+C169</f>
        <v>3780000</v>
      </c>
      <c r="D167" s="697">
        <f>D168+D169</f>
        <v>1242500</v>
      </c>
      <c r="E167" s="697">
        <f>E168+E169</f>
        <v>2537500</v>
      </c>
      <c r="F167" s="698">
        <f>F168+F169</f>
        <v>0</v>
      </c>
      <c r="G167" s="673"/>
      <c r="H167" s="488"/>
    </row>
    <row r="168" spans="1:12" s="320" customFormat="1" ht="30" customHeight="1">
      <c r="A168" s="479" t="s">
        <v>1341</v>
      </c>
      <c r="B168" s="480" t="s">
        <v>112</v>
      </c>
      <c r="C168" s="491">
        <f>'Anexa 7.3'!K1399</f>
        <v>1706500</v>
      </c>
      <c r="D168" s="666">
        <f>'Anexa 7.3'!L1399</f>
        <v>1242500</v>
      </c>
      <c r="E168" s="666">
        <f>'Anexa 7.3'!M1399</f>
        <v>464000</v>
      </c>
      <c r="F168" s="483">
        <f>'Anexa 7.3'!N1399</f>
        <v>0</v>
      </c>
      <c r="G168" s="669"/>
      <c r="H168" s="483"/>
    </row>
    <row r="169" spans="1:12" s="320" customFormat="1" ht="30" customHeight="1" thickBot="1">
      <c r="A169" s="448" t="s">
        <v>1342</v>
      </c>
      <c r="B169" s="449" t="s">
        <v>113</v>
      </c>
      <c r="C169" s="460">
        <f>'Anexa 7.3'!K1413</f>
        <v>2073500</v>
      </c>
      <c r="D169" s="452">
        <f>'Anexa 7.3'!L1413</f>
        <v>0</v>
      </c>
      <c r="E169" s="452">
        <f>'Anexa 7.3'!M1413</f>
        <v>2073500</v>
      </c>
      <c r="F169" s="453">
        <f>'Anexa 7.3'!N1413</f>
        <v>0</v>
      </c>
      <c r="G169" s="674"/>
      <c r="H169" s="453"/>
    </row>
    <row r="170" spans="1:12" s="320" customFormat="1" ht="30" customHeight="1" thickBot="1">
      <c r="A170" s="699" t="s">
        <v>1137</v>
      </c>
      <c r="B170" s="697" t="str">
        <f>'Anexa 7.3'!G1417</f>
        <v>54. ZAGRA</v>
      </c>
      <c r="C170" s="697">
        <f>C171+C172</f>
        <v>3705900</v>
      </c>
      <c r="D170" s="697">
        <f>D171+D172</f>
        <v>1166500</v>
      </c>
      <c r="E170" s="697">
        <f>E171+E172</f>
        <v>2539400</v>
      </c>
      <c r="F170" s="698">
        <f>F171+F172</f>
        <v>0</v>
      </c>
      <c r="G170" s="668">
        <v>0</v>
      </c>
      <c r="H170" s="487">
        <v>0</v>
      </c>
    </row>
    <row r="171" spans="1:12" s="320" customFormat="1" ht="30" customHeight="1">
      <c r="A171" s="479" t="s">
        <v>1138</v>
      </c>
      <c r="B171" s="480" t="s">
        <v>112</v>
      </c>
      <c r="C171" s="491">
        <f>'Anexa 7.3'!K1432</f>
        <v>1166500</v>
      </c>
      <c r="D171" s="666">
        <f>'Anexa 7.3'!L1432</f>
        <v>1166500</v>
      </c>
      <c r="E171" s="666">
        <f>'Anexa 7.3'!M1432</f>
        <v>0</v>
      </c>
      <c r="F171" s="483">
        <f>'Anexa 7.3'!N1432</f>
        <v>0</v>
      </c>
      <c r="G171" s="669"/>
      <c r="H171" s="483"/>
    </row>
    <row r="172" spans="1:12" s="320" customFormat="1" ht="30" customHeight="1" thickBot="1">
      <c r="A172" s="454" t="s">
        <v>1139</v>
      </c>
      <c r="B172" s="455" t="s">
        <v>113</v>
      </c>
      <c r="C172" s="1152">
        <f>'Anexa 7.3'!K1444</f>
        <v>2539400</v>
      </c>
      <c r="D172" s="1131">
        <f>'Anexa 7.3'!L1444</f>
        <v>0</v>
      </c>
      <c r="E172" s="1131">
        <f>'Anexa 7.3'!M1444</f>
        <v>2539400</v>
      </c>
      <c r="F172" s="458">
        <f>'Anexa 7.3'!N1444</f>
        <v>0</v>
      </c>
      <c r="G172" s="674"/>
      <c r="H172" s="453"/>
    </row>
    <row r="173" spans="1:12" s="320" customFormat="1" ht="30" customHeight="1" thickBot="1">
      <c r="A173" s="699" t="s">
        <v>1938</v>
      </c>
      <c r="B173" s="697" t="str">
        <f>'Anexa 7.3'!G1448</f>
        <v>55. DUMITRA</v>
      </c>
      <c r="C173" s="697">
        <f>C174+C175</f>
        <v>941000</v>
      </c>
      <c r="D173" s="697">
        <f>D174+D175</f>
        <v>710000</v>
      </c>
      <c r="E173" s="697">
        <f>E174+E175</f>
        <v>231000</v>
      </c>
      <c r="F173" s="698">
        <f>F174+F175</f>
        <v>0</v>
      </c>
      <c r="G173" s="675"/>
      <c r="H173" s="622"/>
    </row>
    <row r="174" spans="1:12" s="320" customFormat="1" ht="30" customHeight="1" thickBot="1">
      <c r="A174" s="479" t="s">
        <v>1939</v>
      </c>
      <c r="B174" s="480" t="s">
        <v>112</v>
      </c>
      <c r="C174" s="491">
        <f>'Anexa 7.3'!K1455</f>
        <v>124800</v>
      </c>
      <c r="D174" s="1127">
        <f>'Anexa 7.3'!L1455</f>
        <v>124800</v>
      </c>
      <c r="E174" s="1127">
        <f>'Anexa 7.3'!M1455</f>
        <v>0</v>
      </c>
      <c r="F174" s="483">
        <f>'Anexa 7.3'!N1455</f>
        <v>0</v>
      </c>
      <c r="G174" s="675"/>
      <c r="H174" s="622"/>
    </row>
    <row r="175" spans="1:12" s="320" customFormat="1" ht="30" customHeight="1" thickBot="1">
      <c r="A175" s="454" t="s">
        <v>1940</v>
      </c>
      <c r="B175" s="455" t="s">
        <v>113</v>
      </c>
      <c r="C175" s="1152">
        <f>'Anexa 7.3'!K1463</f>
        <v>816200</v>
      </c>
      <c r="D175" s="1131">
        <f>'Anexa 7.3'!L1463</f>
        <v>585200</v>
      </c>
      <c r="E175" s="1131">
        <f>'Anexa 7.3'!M1463</f>
        <v>231000</v>
      </c>
      <c r="F175" s="458">
        <f>'Anexa 7.3'!N1463</f>
        <v>0</v>
      </c>
      <c r="G175" s="675"/>
      <c r="H175" s="622"/>
    </row>
    <row r="176" spans="1:12" s="320" customFormat="1" ht="30" customHeight="1" thickBot="1">
      <c r="A176" s="699" t="s">
        <v>1941</v>
      </c>
      <c r="B176" s="697" t="str">
        <f>'Anexa 7.3'!G1467</f>
        <v>56. MĂGURA ILVEI</v>
      </c>
      <c r="C176" s="697">
        <f>C177+C178</f>
        <v>3702488</v>
      </c>
      <c r="D176" s="697">
        <f>D177+D178</f>
        <v>0</v>
      </c>
      <c r="E176" s="697">
        <f>E177+E178</f>
        <v>3148488</v>
      </c>
      <c r="F176" s="698">
        <f>F177+F178</f>
        <v>554000</v>
      </c>
      <c r="G176" s="675"/>
      <c r="H176" s="622"/>
    </row>
    <row r="177" spans="1:8" s="320" customFormat="1" ht="30" customHeight="1" thickBot="1">
      <c r="A177" s="479" t="s">
        <v>1942</v>
      </c>
      <c r="B177" s="480" t="s">
        <v>112</v>
      </c>
      <c r="C177" s="491">
        <f>'Anexa 7.3'!K1476</f>
        <v>969488</v>
      </c>
      <c r="D177" s="1127">
        <f>'Anexa 7.3'!L1476</f>
        <v>0</v>
      </c>
      <c r="E177" s="1127">
        <f>'Anexa 7.3'!M1476</f>
        <v>969488</v>
      </c>
      <c r="F177" s="483">
        <f>'Anexa 7.3'!N1476</f>
        <v>0</v>
      </c>
      <c r="G177" s="675"/>
      <c r="H177" s="622"/>
    </row>
    <row r="178" spans="1:8" s="320" customFormat="1" ht="30" customHeight="1" thickBot="1">
      <c r="A178" s="454" t="s">
        <v>1943</v>
      </c>
      <c r="B178" s="455" t="s">
        <v>113</v>
      </c>
      <c r="C178" s="1152">
        <f>'Anexa 7.3'!K1486</f>
        <v>2733000</v>
      </c>
      <c r="D178" s="1131">
        <f>'Anexa 7.3'!L1486</f>
        <v>0</v>
      </c>
      <c r="E178" s="1131">
        <f>'Anexa 7.3'!M1486</f>
        <v>2179000</v>
      </c>
      <c r="F178" s="458">
        <f>'Anexa 7.3'!N1486</f>
        <v>554000</v>
      </c>
      <c r="G178" s="675"/>
      <c r="H178" s="622"/>
    </row>
    <row r="179" spans="1:8" s="320" customFormat="1" ht="30" customHeight="1" thickBot="1">
      <c r="A179" s="699" t="s">
        <v>1944</v>
      </c>
      <c r="B179" s="697" t="str">
        <f>'Anexa 7.3'!G1490</f>
        <v>57. PARVA</v>
      </c>
      <c r="C179" s="697">
        <f>C180+C181</f>
        <v>1166000</v>
      </c>
      <c r="D179" s="697">
        <f>D180+D181</f>
        <v>1166000</v>
      </c>
      <c r="E179" s="697">
        <f>E180+E181</f>
        <v>0</v>
      </c>
      <c r="F179" s="698">
        <f>F180+F181</f>
        <v>0</v>
      </c>
      <c r="G179" s="675"/>
      <c r="H179" s="622"/>
    </row>
    <row r="180" spans="1:8" s="320" customFormat="1" ht="30" customHeight="1" thickBot="1">
      <c r="A180" s="479" t="s">
        <v>1945</v>
      </c>
      <c r="B180" s="480" t="s">
        <v>112</v>
      </c>
      <c r="C180" s="491">
        <f>'Anexa 7.3'!K1497</f>
        <v>242000</v>
      </c>
      <c r="D180" s="1127">
        <f>'Anexa 7.3'!L1497</f>
        <v>242000</v>
      </c>
      <c r="E180" s="1127">
        <f>'Anexa 7.3'!M1497</f>
        <v>0</v>
      </c>
      <c r="F180" s="483">
        <f>'Anexa 7.3'!N1497</f>
        <v>0</v>
      </c>
      <c r="G180" s="675"/>
      <c r="H180" s="622"/>
    </row>
    <row r="181" spans="1:8" s="320" customFormat="1" ht="30" customHeight="1" thickBot="1">
      <c r="A181" s="454" t="s">
        <v>1946</v>
      </c>
      <c r="B181" s="455" t="s">
        <v>113</v>
      </c>
      <c r="C181" s="1152">
        <f>'Anexa 7.3'!K1503</f>
        <v>924000</v>
      </c>
      <c r="D181" s="1131">
        <f>'Anexa 7.3'!L1503</f>
        <v>924000</v>
      </c>
      <c r="E181" s="1131">
        <f>'Anexa 7.3'!M1503</f>
        <v>0</v>
      </c>
      <c r="F181" s="458">
        <f>'Anexa 7.3'!N1503</f>
        <v>0</v>
      </c>
      <c r="G181" s="675"/>
      <c r="H181" s="622"/>
    </row>
    <row r="182" spans="1:8" s="320" customFormat="1" ht="30" customHeight="1" thickBot="1">
      <c r="A182" s="699" t="s">
        <v>1947</v>
      </c>
      <c r="B182" s="697" t="str">
        <f>'Anexa 7.3'!G1507</f>
        <v>58. MONOR - ADI MUREȘ</v>
      </c>
      <c r="C182" s="697">
        <f>C183+C184</f>
        <v>1898024</v>
      </c>
      <c r="D182" s="697">
        <f>D183+D184</f>
        <v>0</v>
      </c>
      <c r="E182" s="697">
        <f>E183+E184</f>
        <v>440224</v>
      </c>
      <c r="F182" s="698">
        <f>F183+F184</f>
        <v>1457800</v>
      </c>
      <c r="G182" s="675"/>
      <c r="H182" s="622"/>
    </row>
    <row r="183" spans="1:8" s="320" customFormat="1" ht="30" customHeight="1" thickBot="1">
      <c r="A183" s="479" t="s">
        <v>1948</v>
      </c>
      <c r="B183" s="480" t="s">
        <v>112</v>
      </c>
      <c r="C183" s="491">
        <f>'Anexa 7.3'!K1524</f>
        <v>440224</v>
      </c>
      <c r="D183" s="1127">
        <f>'Anexa 7.3'!L1524</f>
        <v>0</v>
      </c>
      <c r="E183" s="1127">
        <f>'Anexa 7.3'!M1524</f>
        <v>440224</v>
      </c>
      <c r="F183" s="483">
        <f>'Anexa 7.3'!N1524</f>
        <v>0</v>
      </c>
      <c r="G183" s="675"/>
      <c r="H183" s="622"/>
    </row>
    <row r="184" spans="1:8" s="320" customFormat="1" ht="30" customHeight="1" thickBot="1">
      <c r="A184" s="454" t="s">
        <v>1949</v>
      </c>
      <c r="B184" s="455" t="s">
        <v>113</v>
      </c>
      <c r="C184" s="1152">
        <f>'Anexa 7.3'!K1533</f>
        <v>1457800</v>
      </c>
      <c r="D184" s="1131">
        <f>'Anexa 7.3'!L1533</f>
        <v>0</v>
      </c>
      <c r="E184" s="1131">
        <f>'Anexa 7.3'!M1533</f>
        <v>0</v>
      </c>
      <c r="F184" s="458">
        <f>'Anexa 7.3'!N1533</f>
        <v>1457800</v>
      </c>
      <c r="G184" s="675"/>
      <c r="H184" s="622"/>
    </row>
    <row r="185" spans="1:8" s="320" customFormat="1" ht="30" customHeight="1" thickBot="1">
      <c r="A185" s="699" t="s">
        <v>1950</v>
      </c>
      <c r="B185" s="697" t="str">
        <f>'Anexa 7.3'!G1537</f>
        <v>59. SILIVAȘUL DE CÂMPIE - ADI MUREȘ</v>
      </c>
      <c r="C185" s="697">
        <f>C186+C187</f>
        <v>320000</v>
      </c>
      <c r="D185" s="697">
        <f>D186+D187</f>
        <v>0</v>
      </c>
      <c r="E185" s="697">
        <f>E186+E187</f>
        <v>320000</v>
      </c>
      <c r="F185" s="698">
        <f>F186+F187</f>
        <v>0</v>
      </c>
      <c r="G185" s="675"/>
      <c r="H185" s="622"/>
    </row>
    <row r="186" spans="1:8" s="320" customFormat="1" ht="30" customHeight="1" thickBot="1">
      <c r="A186" s="479" t="s">
        <v>1951</v>
      </c>
      <c r="B186" s="480" t="s">
        <v>112</v>
      </c>
      <c r="C186" s="491">
        <f>'Anexa 7.3'!K1544</f>
        <v>320000</v>
      </c>
      <c r="D186" s="1127">
        <f>'Anexa 7.3'!L1544</f>
        <v>0</v>
      </c>
      <c r="E186" s="1127">
        <f>'Anexa 7.3'!M1544</f>
        <v>320000</v>
      </c>
      <c r="F186" s="483">
        <f>'Anexa 7.3'!N1544</f>
        <v>0</v>
      </c>
      <c r="G186" s="675"/>
      <c r="H186" s="622"/>
    </row>
    <row r="187" spans="1:8" s="320" customFormat="1" ht="30" customHeight="1" thickBot="1">
      <c r="A187" s="454" t="s">
        <v>1952</v>
      </c>
      <c r="B187" s="455" t="s">
        <v>113</v>
      </c>
      <c r="C187" s="1152">
        <f>'Anexa 7.3'!K1536</f>
        <v>0</v>
      </c>
      <c r="D187" s="1131">
        <f>'Anexa 7.3'!L1536</f>
        <v>0</v>
      </c>
      <c r="E187" s="1131">
        <f>'Anexa 7.3'!M1536</f>
        <v>0</v>
      </c>
      <c r="F187" s="458">
        <f>'Anexa 7.3'!N1536</f>
        <v>0</v>
      </c>
      <c r="G187" s="675"/>
      <c r="H187" s="622"/>
    </row>
    <row r="188" spans="1:8" s="320" customFormat="1" ht="30" customHeight="1" thickBot="1">
      <c r="A188" s="699" t="s">
        <v>1953</v>
      </c>
      <c r="B188" s="697" t="str">
        <f>'Anexa 7.3'!G1548</f>
        <v>60. URMENIȘ - ADI MUREȘ</v>
      </c>
      <c r="C188" s="697">
        <f>C189+C190</f>
        <v>3251500</v>
      </c>
      <c r="D188" s="697">
        <f>D189+D190</f>
        <v>0</v>
      </c>
      <c r="E188" s="697">
        <f>E189+E190</f>
        <v>704000</v>
      </c>
      <c r="F188" s="698">
        <f>F189+F190</f>
        <v>2547500</v>
      </c>
      <c r="G188" s="675"/>
      <c r="H188" s="622"/>
    </row>
    <row r="189" spans="1:8" s="320" customFormat="1" ht="30" customHeight="1" thickBot="1">
      <c r="A189" s="479" t="s">
        <v>1951</v>
      </c>
      <c r="B189" s="480" t="s">
        <v>112</v>
      </c>
      <c r="C189" s="491">
        <f>'Anexa 7.3'!K1556</f>
        <v>704000</v>
      </c>
      <c r="D189" s="1127">
        <f>'Anexa 7.3'!L1556</f>
        <v>0</v>
      </c>
      <c r="E189" s="1127">
        <f>'Anexa 7.3'!M1556</f>
        <v>704000</v>
      </c>
      <c r="F189" s="483">
        <f>'Anexa 7.3'!N1556</f>
        <v>0</v>
      </c>
      <c r="G189" s="675"/>
      <c r="H189" s="622"/>
    </row>
    <row r="190" spans="1:8" s="320" customFormat="1" ht="30" customHeight="1" thickBot="1">
      <c r="A190" s="454" t="s">
        <v>1952</v>
      </c>
      <c r="B190" s="455" t="s">
        <v>113</v>
      </c>
      <c r="C190" s="1152">
        <f>'Anexa 7.3'!K1568</f>
        <v>2547500</v>
      </c>
      <c r="D190" s="1131">
        <f>'Anexa 7.3'!L1568</f>
        <v>0</v>
      </c>
      <c r="E190" s="1131">
        <f>'Anexa 7.3'!M1568</f>
        <v>0</v>
      </c>
      <c r="F190" s="458">
        <f>'Anexa 7.3'!N1568</f>
        <v>2547500</v>
      </c>
      <c r="G190" s="675"/>
      <c r="H190" s="622"/>
    </row>
    <row r="191" spans="1:8" ht="30" customHeight="1" thickBot="1">
      <c r="A191" s="1153"/>
      <c r="B191" s="1154" t="s">
        <v>1392</v>
      </c>
      <c r="C191" s="1154">
        <f>C7+C10+C13+C16+C19+C22+C25+C28+C31+C34+C37+C40+C43+C46+C49+C53+C56+C59+C62+C65+C68+C71+C74+C77+C80+C83+C86+C89+C95+C98+C101+C104+C107+C110+C113+C116+C119+C122+C125+C128+C131+C134+C137+C140+C143+C146+C149+C152+C155+C158+C161+C164+C167+C170+C173+C176+C179+C182+C185+C188</f>
        <v>260969159.91999999</v>
      </c>
      <c r="D191" s="1154">
        <f>D7+D10+D13+D16+D19+D22+D25+D28+D31+D34+D37+D40+D43+D46+D49+D53+D56+D59+D62+D65+D68+D71+D74+D77+D80+D83+D86+D89+D95+D98+D101+D104+D107+D110+D113+D116+D119+D122+D125+D128+D131+D134+D137+D140+D143+D146+D149+D152+D155+D158+D161+D164+D167+D170+D173+D176+D179+D182+D185+D188</f>
        <v>144403080</v>
      </c>
      <c r="E191" s="1154">
        <f>E7+E10+E13+E16+E19+E22+E25+E28+E31+E34+E37+E40+E43+E46+E49+E53+E56+E59+E62+E65+E68+E71+E74+E77+E83+E86+E89+E95+E98+E101+E104+E107+E110+E113+E116+E119+E122+E125+E128+E131+E134+E137+E140+E143+E146+E149+E152+E155+E158+E161+E164+E167+E170+E173+E176+E179+E182+E185+E188</f>
        <v>98522279.920000002</v>
      </c>
      <c r="F191" s="1155">
        <f>F7+F10+F13+F16+F19+F22+F25+F28+F31+F34+F37+F40+F43+F46+F49+F53+F56+F59+F62+F65+F68+F71+F74+F77+F80+F83+F86+F89+F95+F98+F101+F104+F107+F110+F113+F116+F119+F122+F125+F128+F131+F134+F137+F140+F143+F146+F149+F152+F155+F158+F161+F164+F167+F170+F173+F176+F179+F182+F185+F188</f>
        <v>18043800</v>
      </c>
      <c r="G191" s="679">
        <v>0</v>
      </c>
      <c r="H191" s="492">
        <v>0</v>
      </c>
    </row>
    <row r="192" spans="1:8" ht="30" customHeight="1" thickBot="1">
      <c r="A192" s="351" t="s">
        <v>1185</v>
      </c>
      <c r="B192" s="352"/>
      <c r="C192" s="353"/>
      <c r="D192" s="353"/>
      <c r="E192" s="353"/>
      <c r="F192" s="354"/>
      <c r="G192" s="353"/>
      <c r="H192" s="354"/>
    </row>
    <row r="193" spans="1:8" ht="30" customHeight="1">
      <c r="A193" s="1452"/>
      <c r="B193" s="1452"/>
      <c r="C193" s="1452"/>
      <c r="D193" s="1452"/>
      <c r="E193" s="1452"/>
      <c r="F193" s="1452"/>
      <c r="G193" s="1452"/>
      <c r="H193" s="1452"/>
    </row>
    <row r="194" spans="1:8" ht="30" customHeight="1">
      <c r="A194" s="337"/>
      <c r="B194" s="349"/>
      <c r="C194" s="338"/>
      <c r="D194" s="338"/>
      <c r="E194" s="338"/>
      <c r="F194" s="338"/>
      <c r="G194" s="338"/>
      <c r="H194" s="338"/>
    </row>
    <row r="195" spans="1:8" ht="30" customHeight="1">
      <c r="A195" s="337"/>
      <c r="B195" s="360"/>
      <c r="C195" s="361"/>
      <c r="D195" s="361"/>
      <c r="E195" s="361"/>
      <c r="F195" s="361"/>
      <c r="G195" s="361"/>
      <c r="H195" s="361"/>
    </row>
    <row r="196" spans="1:8" ht="30" customHeight="1">
      <c r="A196" s="1453"/>
      <c r="B196" s="1454"/>
      <c r="C196" s="1454"/>
      <c r="D196" s="1454"/>
      <c r="E196" s="1454"/>
      <c r="F196" s="1454"/>
      <c r="G196" s="1454"/>
      <c r="H196" s="1454"/>
    </row>
    <row r="197" spans="1:8" ht="30" customHeight="1">
      <c r="A197" s="44"/>
    </row>
  </sheetData>
  <mergeCells count="11">
    <mergeCell ref="A1:H1"/>
    <mergeCell ref="A2:H2"/>
    <mergeCell ref="A193:H193"/>
    <mergeCell ref="A196:H196"/>
    <mergeCell ref="F4:F5"/>
    <mergeCell ref="A4:A5"/>
    <mergeCell ref="B4:B5"/>
    <mergeCell ref="C4:C5"/>
    <mergeCell ref="D4:D5"/>
    <mergeCell ref="E4:E5"/>
    <mergeCell ref="G4:H4"/>
  </mergeCells>
  <printOptions horizontalCentered="1" verticalCentered="1"/>
  <pageMargins left="0.7" right="0.7" top="0.75" bottom="0.75" header="0.3" footer="0.3"/>
  <pageSetup paperSize="9" scale="63" orientation="portrait" r:id="rId1"/>
  <headerFooter>
    <oddHeader xml:space="preserve">&amp;L&amp;"-,Bold"&amp;12ANEXA 7.1&amp;RMASTER PLAN
Decembrie 2013 </oddHeader>
    <oddFooter>&amp;RAnexa 7.1/ Pagina &amp;P/&amp;N</oddFooter>
  </headerFooter>
  <rowBreaks count="5" manualBreakCount="5">
    <brk id="39" max="7" man="1"/>
    <brk id="73" max="7" man="1"/>
    <brk id="109" max="7" man="1"/>
    <brk id="145" max="7" man="1"/>
    <brk id="181" max="7" man="1"/>
  </rowBreaks>
  <ignoredErrors>
    <ignoredError sqref="C90:F90 E89:F89 C97:F97 D95:F95 C99:C100 C103:F103 D98:F101 D104:F104 G116 B7:B9 C51:F52 B89:B99 G118 G117 C7:F7 C19:G21 C22:F39 B53:F56 C49:F50 B40:F48 B49:B50 B83:F85 C79:F79 E77:F77 C74:F76 C80:F81 B77:B79 B74:B76 B80:B81 C78:F78 C10:F18 E8:F8 F9 C9:E9 C8:D8 C82:F82 C86:F86 B104 B100:B103 D93:F93 B167 B170 C188:F190 C147:F147 C191:D191 C165:D165 C166 B58:F73 B57:C57 F57 F191" unlockedFormula="1"/>
    <ignoredError sqref="D89 C98 C95 C101 C104 D77" evalError="1" unlockedFormula="1"/>
    <ignoredError sqref="C89 C77" evalError="1" formula="1" unlockedFormula="1"/>
    <ignoredError sqref="G119:H121 G125:H130 G134:H136 G140:H142 A8:A85 A87:A94 C109:F109 B139 C117:F117 C162:F162 C153:F153 B138 A96:A172 A173 A174:B175 A176:A178 A179:A181 A182:A184 A185:A187 A189:B190 A188" numberStoredAsText="1"/>
    <ignoredError sqref="B87:F88 C171:F171 C172:F172 C167:F170 B171 B172 B146:F146 B137 C137:F139 B164:F164 B161:F161 B162 B163:F163 B147 B148:F151 B140:F145 B119:F136 B117 B118:F118 B109 B110:F112 B158:F160 B116:F116 B113:F113 B105:F108 B153 B154:F154 B155:F157 B152:F152 B115:F115 B114 E114:F114 C174:F175 B173:F173 B169 B168 B176:F178 B179:F181 B182:F184 B185:F187 B188 B166 B165 E165:F165 D166:F166" numberStoredAsText="1" unlockedFormula="1"/>
  </ignoredErrors>
</worksheet>
</file>

<file path=xl/worksheets/sheet9.xml><?xml version="1.0" encoding="utf-8"?>
<worksheet xmlns="http://schemas.openxmlformats.org/spreadsheetml/2006/main" xmlns:r="http://schemas.openxmlformats.org/officeDocument/2006/relationships">
  <dimension ref="A2:BK28"/>
  <sheetViews>
    <sheetView view="pageBreakPreview" topLeftCell="L18" zoomScaleSheetLayoutView="100" workbookViewId="0">
      <selection activeCell="A3" sqref="A3"/>
    </sheetView>
  </sheetViews>
  <sheetFormatPr defaultRowHeight="15"/>
  <cols>
    <col min="1" max="1" width="6.5703125" customWidth="1"/>
    <col min="2" max="2" width="18" customWidth="1"/>
    <col min="3" max="3" width="11" customWidth="1"/>
    <col min="4" max="6" width="11.28515625" style="320" customWidth="1"/>
    <col min="7" max="7" width="13.140625" style="320" customWidth="1"/>
    <col min="8" max="8" width="9.85546875" style="320" customWidth="1"/>
    <col min="9" max="12" width="11.28515625" style="320" customWidth="1"/>
    <col min="13" max="13" width="8.85546875" style="320" customWidth="1"/>
    <col min="14" max="17" width="11.28515625" style="320" customWidth="1"/>
    <col min="18" max="18" width="11.85546875" style="320" customWidth="1"/>
    <col min="19" max="26" width="11.28515625" style="320" customWidth="1"/>
    <col min="27" max="27" width="10.42578125" customWidth="1"/>
    <col min="28" max="29" width="11.28515625" style="320" customWidth="1"/>
    <col min="30" max="30" width="10.42578125" customWidth="1"/>
    <col min="31" max="31" width="10.7109375" customWidth="1"/>
    <col min="32" max="32" width="9.28515625" customWidth="1"/>
    <col min="33" max="33" width="9.85546875" customWidth="1"/>
    <col min="34" max="56" width="11.28515625" style="320" customWidth="1"/>
    <col min="57" max="57" width="10.140625" customWidth="1"/>
    <col min="58" max="58" width="10.140625" style="320" customWidth="1"/>
    <col min="59" max="59" width="9.140625" customWidth="1"/>
    <col min="60" max="60" width="9.140625" style="320" customWidth="1"/>
    <col min="61" max="61" width="9.28515625" bestFit="1" customWidth="1"/>
    <col min="62" max="62" width="11.7109375" customWidth="1"/>
    <col min="63" max="63" width="9.28515625" bestFit="1" customWidth="1"/>
  </cols>
  <sheetData>
    <row r="2" spans="1:63" ht="15" customHeight="1">
      <c r="A2" s="635" t="s">
        <v>109</v>
      </c>
      <c r="B2" s="635"/>
      <c r="C2" s="636"/>
      <c r="D2" s="636"/>
      <c r="E2" s="636"/>
      <c r="O2" s="635"/>
      <c r="Z2" s="635"/>
      <c r="AK2" s="635"/>
    </row>
    <row r="3" spans="1:63">
      <c r="A3" s="635" t="s">
        <v>138</v>
      </c>
      <c r="B3" s="635"/>
      <c r="C3" s="635"/>
      <c r="D3" s="635"/>
      <c r="E3" s="635"/>
      <c r="F3" s="635"/>
      <c r="G3" s="635"/>
      <c r="H3" s="635"/>
      <c r="I3" s="635"/>
      <c r="J3" s="635"/>
      <c r="K3" s="635"/>
      <c r="L3" s="635"/>
      <c r="M3" s="635"/>
      <c r="N3" s="635"/>
      <c r="O3" s="635"/>
      <c r="P3" s="635"/>
      <c r="Q3" s="635"/>
      <c r="R3" s="635"/>
      <c r="S3" s="635"/>
      <c r="T3" s="635"/>
      <c r="U3" s="635"/>
      <c r="V3" s="635"/>
      <c r="W3" s="635"/>
      <c r="X3" s="635"/>
      <c r="Y3" s="635"/>
      <c r="Z3" s="635"/>
      <c r="AA3" s="635"/>
      <c r="AB3" s="635"/>
      <c r="AC3" s="635"/>
      <c r="AD3" s="635"/>
      <c r="AK3" s="635"/>
    </row>
    <row r="4" spans="1:63" ht="18.75" thickBot="1">
      <c r="A4" s="141"/>
      <c r="B4" s="142"/>
      <c r="C4" s="140"/>
      <c r="AD4" s="44"/>
    </row>
    <row r="5" spans="1:63" ht="51" customHeight="1">
      <c r="A5" s="703" t="s">
        <v>111</v>
      </c>
      <c r="B5" s="704" t="s">
        <v>110</v>
      </c>
      <c r="C5" s="702" t="s">
        <v>314</v>
      </c>
      <c r="D5" s="702" t="s">
        <v>1393</v>
      </c>
      <c r="E5" s="702" t="s">
        <v>1394</v>
      </c>
      <c r="F5" s="702" t="s">
        <v>1395</v>
      </c>
      <c r="G5" s="702" t="s">
        <v>1396</v>
      </c>
      <c r="H5" s="702" t="s">
        <v>1145</v>
      </c>
      <c r="I5" s="702" t="s">
        <v>1283</v>
      </c>
      <c r="J5" s="702" t="s">
        <v>1397</v>
      </c>
      <c r="K5" s="702" t="s">
        <v>1398</v>
      </c>
      <c r="L5" s="702" t="s">
        <v>1399</v>
      </c>
      <c r="M5" s="702" t="s">
        <v>1143</v>
      </c>
      <c r="N5" s="702" t="s">
        <v>1400</v>
      </c>
      <c r="O5" s="702" t="s">
        <v>1401</v>
      </c>
      <c r="P5" s="702" t="s">
        <v>1402</v>
      </c>
      <c r="Q5" s="702" t="s">
        <v>1284</v>
      </c>
      <c r="R5" s="702" t="s">
        <v>1403</v>
      </c>
      <c r="S5" s="702" t="s">
        <v>1404</v>
      </c>
      <c r="T5" s="702" t="s">
        <v>1405</v>
      </c>
      <c r="U5" s="702" t="s">
        <v>1406</v>
      </c>
      <c r="V5" s="702" t="s">
        <v>1407</v>
      </c>
      <c r="W5" s="702" t="s">
        <v>1408</v>
      </c>
      <c r="X5" s="702" t="s">
        <v>1409</v>
      </c>
      <c r="Y5" s="702" t="s">
        <v>1410</v>
      </c>
      <c r="Z5" s="702" t="s">
        <v>1411</v>
      </c>
      <c r="AA5" s="702" t="s">
        <v>1141</v>
      </c>
      <c r="AB5" s="702" t="s">
        <v>1412</v>
      </c>
      <c r="AC5" s="702" t="s">
        <v>1413</v>
      </c>
      <c r="AD5" s="702" t="s">
        <v>1142</v>
      </c>
      <c r="AE5" s="702" t="s">
        <v>1144</v>
      </c>
      <c r="AF5" s="702" t="s">
        <v>1146</v>
      </c>
      <c r="AG5" s="702" t="s">
        <v>1147</v>
      </c>
      <c r="AH5" s="702" t="s">
        <v>1414</v>
      </c>
      <c r="AI5" s="702" t="s">
        <v>1415</v>
      </c>
      <c r="AJ5" s="702" t="s">
        <v>1416</v>
      </c>
      <c r="AK5" s="702" t="s">
        <v>1417</v>
      </c>
      <c r="AL5" s="702" t="s">
        <v>1418</v>
      </c>
      <c r="AM5" s="702" t="s">
        <v>1419</v>
      </c>
      <c r="AN5" s="702" t="s">
        <v>1420</v>
      </c>
      <c r="AO5" s="702" t="s">
        <v>1421</v>
      </c>
      <c r="AP5" s="702" t="s">
        <v>1422</v>
      </c>
      <c r="AQ5" s="702" t="s">
        <v>1423</v>
      </c>
      <c r="AR5" s="702" t="s">
        <v>1424</v>
      </c>
      <c r="AS5" s="702" t="s">
        <v>1425</v>
      </c>
      <c r="AT5" s="702" t="s">
        <v>1426</v>
      </c>
      <c r="AU5" s="702" t="s">
        <v>1427</v>
      </c>
      <c r="AV5" s="702" t="s">
        <v>1428</v>
      </c>
      <c r="AW5" s="702" t="s">
        <v>1429</v>
      </c>
      <c r="AX5" s="702" t="s">
        <v>1430</v>
      </c>
      <c r="AY5" s="702" t="s">
        <v>1431</v>
      </c>
      <c r="AZ5" s="702" t="s">
        <v>1432</v>
      </c>
      <c r="BA5" s="702" t="s">
        <v>1433</v>
      </c>
      <c r="BB5" s="702" t="s">
        <v>1434</v>
      </c>
      <c r="BC5" s="702" t="s">
        <v>1435</v>
      </c>
      <c r="BD5" s="702" t="s">
        <v>1379</v>
      </c>
      <c r="BE5" s="702" t="s">
        <v>1436</v>
      </c>
      <c r="BF5" s="1158" t="s">
        <v>1954</v>
      </c>
      <c r="BG5" s="1160" t="s">
        <v>1955</v>
      </c>
      <c r="BH5" s="1160" t="s">
        <v>1956</v>
      </c>
      <c r="BI5" s="1160" t="s">
        <v>2067</v>
      </c>
      <c r="BJ5" s="1160" t="s">
        <v>1957</v>
      </c>
      <c r="BK5" s="1160" t="s">
        <v>1958</v>
      </c>
    </row>
    <row r="6" spans="1:63" ht="20.100000000000001" customHeight="1">
      <c r="A6" s="693" t="s">
        <v>139</v>
      </c>
      <c r="B6" s="341" t="s">
        <v>1437</v>
      </c>
      <c r="C6" s="478"/>
      <c r="D6" s="478"/>
      <c r="E6" s="478"/>
      <c r="F6" s="478"/>
      <c r="G6" s="478"/>
      <c r="H6" s="478"/>
      <c r="I6" s="478"/>
      <c r="J6" s="478"/>
      <c r="K6" s="478"/>
      <c r="L6" s="478"/>
      <c r="M6" s="478"/>
      <c r="N6" s="478"/>
      <c r="O6" s="478"/>
      <c r="P6" s="478"/>
      <c r="Q6" s="478"/>
      <c r="R6" s="478"/>
      <c r="S6" s="478"/>
      <c r="T6" s="478"/>
      <c r="U6" s="478"/>
      <c r="V6" s="478"/>
      <c r="W6" s="478"/>
      <c r="X6" s="478"/>
      <c r="Y6" s="478"/>
      <c r="Z6" s="478"/>
      <c r="AA6" s="478"/>
      <c r="AB6" s="478"/>
      <c r="AC6" s="478"/>
      <c r="AD6" s="478"/>
      <c r="AE6" s="478"/>
      <c r="AF6" s="478"/>
      <c r="AG6" s="478"/>
      <c r="AH6" s="478"/>
      <c r="AI6" s="478"/>
      <c r="AJ6" s="478"/>
      <c r="AK6" s="478"/>
      <c r="AL6" s="478"/>
      <c r="AM6" s="478"/>
      <c r="AN6" s="478"/>
      <c r="AO6" s="478"/>
      <c r="AP6" s="478"/>
      <c r="AQ6" s="478"/>
      <c r="AR6" s="478"/>
      <c r="AS6" s="478"/>
      <c r="AT6" s="478"/>
      <c r="AU6" s="478"/>
      <c r="AV6" s="478"/>
      <c r="AW6" s="478"/>
      <c r="AX6" s="478"/>
      <c r="AY6" s="478"/>
      <c r="AZ6" s="478"/>
      <c r="BA6" s="478"/>
      <c r="BB6" s="478"/>
      <c r="BC6" s="478"/>
      <c r="BD6" s="478"/>
      <c r="BE6" s="478"/>
      <c r="BF6" s="478"/>
      <c r="BG6" s="478"/>
      <c r="BH6" s="478"/>
      <c r="BI6" s="478"/>
      <c r="BJ6" s="478"/>
      <c r="BK6" s="478"/>
    </row>
    <row r="7" spans="1:63" ht="20.100000000000001" customHeight="1">
      <c r="A7" s="346" t="s">
        <v>136</v>
      </c>
      <c r="B7" s="342" t="s">
        <v>329</v>
      </c>
      <c r="C7" s="343">
        <f t="shared" ref="C7:C12" si="0">SUM(D7:BK7)</f>
        <v>8177000</v>
      </c>
      <c r="D7" s="339"/>
      <c r="E7" s="339"/>
      <c r="F7" s="339"/>
      <c r="G7" s="339"/>
      <c r="H7" s="339">
        <f>'Anexa 7.3'!K138</f>
        <v>89000</v>
      </c>
      <c r="I7" s="339"/>
      <c r="J7" s="339"/>
      <c r="K7" s="339">
        <f>'Anexa 7.3'!K251+'Anexa 7.3'!K255</f>
        <v>267000</v>
      </c>
      <c r="L7" s="339">
        <f>'Anexa 7.3'!K306</f>
        <v>89000</v>
      </c>
      <c r="M7" s="339"/>
      <c r="N7" s="339">
        <f>SUM('Anexa 7.3'!K350:K352)</f>
        <v>725000</v>
      </c>
      <c r="O7" s="339"/>
      <c r="P7" s="339"/>
      <c r="Q7" s="339">
        <f>'Anexa 7.3'!K442</f>
        <v>125000</v>
      </c>
      <c r="R7" s="339">
        <f>'Anexa 7.3'!L467</f>
        <v>250000</v>
      </c>
      <c r="S7" s="339">
        <f>'Anexa 7.3'!K548</f>
        <v>89000</v>
      </c>
      <c r="T7" s="339"/>
      <c r="U7" s="339"/>
      <c r="V7" s="339"/>
      <c r="W7" s="339">
        <f>'Anexa 7.3'!K629</f>
        <v>300000</v>
      </c>
      <c r="X7" s="339">
        <f>'Anexa 7.3'!K653</f>
        <v>1000000</v>
      </c>
      <c r="Y7" s="339"/>
      <c r="Z7" s="339"/>
      <c r="AA7" s="339"/>
      <c r="AB7" s="339"/>
      <c r="AC7" s="339">
        <f>'Anexa 7.3'!L780+'Anexa 7.3'!L784</f>
        <v>250000</v>
      </c>
      <c r="AD7" s="339"/>
      <c r="AE7" s="340"/>
      <c r="AF7" s="340"/>
      <c r="AG7" s="339"/>
      <c r="AH7" s="339">
        <f>SUM('Anexa 7.3'!L807:L813)</f>
        <v>3570000</v>
      </c>
      <c r="AI7" s="339"/>
      <c r="AJ7" s="339">
        <f>'Anexa 7.3'!K953</f>
        <v>89000</v>
      </c>
      <c r="AK7" s="339">
        <f>'Anexa 7.3'!K968</f>
        <v>89000</v>
      </c>
      <c r="AL7" s="339"/>
      <c r="AM7" s="339"/>
      <c r="AN7" s="339"/>
      <c r="AO7" s="339"/>
      <c r="AP7" s="339"/>
      <c r="AQ7" s="339"/>
      <c r="AR7" s="339"/>
      <c r="AS7" s="339"/>
      <c r="AT7" s="339"/>
      <c r="AU7" s="339">
        <f>'Anexa 7.3'!K1171</f>
        <v>300000</v>
      </c>
      <c r="AV7" s="339"/>
      <c r="AW7" s="339"/>
      <c r="AX7" s="339"/>
      <c r="AY7" s="339"/>
      <c r="AZ7" s="339"/>
      <c r="BA7" s="339">
        <f>'Anexa 7.3'!K1296+'Anexa 7.3'!K1310</f>
        <v>214000</v>
      </c>
      <c r="BB7" s="339"/>
      <c r="BC7" s="339">
        <f>'Anexa 7.3'!K1357</f>
        <v>125000</v>
      </c>
      <c r="BD7" s="339">
        <f>'Anexa 7.3'!K1383+'Anexa 7.3'!K1388+'Anexa 7.3'!K1391+'Anexa 7.3'!K1394</f>
        <v>392000</v>
      </c>
      <c r="BE7" s="339">
        <f>'Anexa 7.3'!K1421+'Anexa 7.3'!K1427</f>
        <v>214000</v>
      </c>
      <c r="BF7" s="339"/>
      <c r="BG7" s="339"/>
      <c r="BH7" s="339"/>
      <c r="BI7" s="339"/>
      <c r="BJ7" s="339"/>
      <c r="BK7" s="339"/>
    </row>
    <row r="8" spans="1:63" ht="20.100000000000001" customHeight="1">
      <c r="A8" s="346" t="s">
        <v>137</v>
      </c>
      <c r="B8" s="342" t="s">
        <v>1187</v>
      </c>
      <c r="C8" s="343">
        <f t="shared" si="0"/>
        <v>12652667</v>
      </c>
      <c r="D8" s="339"/>
      <c r="E8" s="339"/>
      <c r="F8" s="339"/>
      <c r="G8" s="339"/>
      <c r="H8" s="339"/>
      <c r="I8" s="339">
        <f>'Anexa 7.3'!K167</f>
        <v>101167</v>
      </c>
      <c r="J8" s="339"/>
      <c r="K8" s="339"/>
      <c r="L8" s="339"/>
      <c r="M8" s="339"/>
      <c r="N8" s="339">
        <f>SUM('Anexa 7.3'!K353:K353)</f>
        <v>35000</v>
      </c>
      <c r="O8" s="339"/>
      <c r="P8" s="339"/>
      <c r="Q8" s="339"/>
      <c r="R8" s="339">
        <f>'Anexa 7.3'!K468+'Anexa 7.3'!K469+'Anexa 7.3'!K470+'Anexa 7.3'!K471</f>
        <v>2360000</v>
      </c>
      <c r="S8" s="339"/>
      <c r="T8" s="339">
        <f>'Anexa 7.3'!K576</f>
        <v>0</v>
      </c>
      <c r="U8" s="339">
        <f>'Anexa 7.3'!K600</f>
        <v>0</v>
      </c>
      <c r="V8" s="339">
        <f>'Anexa 7.3'!K618</f>
        <v>2700000</v>
      </c>
      <c r="W8" s="339"/>
      <c r="X8" s="339">
        <f>'Anexa 7.3'!K654+'Anexa 7.3'!K655</f>
        <v>5300000</v>
      </c>
      <c r="Y8" s="339"/>
      <c r="Z8" s="339"/>
      <c r="AA8" s="339"/>
      <c r="AB8" s="339"/>
      <c r="AC8" s="339"/>
      <c r="AD8" s="339"/>
      <c r="AE8" s="340"/>
      <c r="AF8" s="340"/>
      <c r="AG8" s="339"/>
      <c r="AH8" s="339">
        <f>'Anexa 7.3'!K814</f>
        <v>1730000</v>
      </c>
      <c r="AI8" s="339"/>
      <c r="AJ8" s="339"/>
      <c r="AK8" s="339"/>
      <c r="AL8" s="339"/>
      <c r="AM8" s="339"/>
      <c r="AN8" s="339"/>
      <c r="AO8" s="339"/>
      <c r="AP8" s="339"/>
      <c r="AQ8" s="339"/>
      <c r="AR8" s="339"/>
      <c r="AS8" s="339"/>
      <c r="AT8" s="339"/>
      <c r="AU8" s="339"/>
      <c r="AV8" s="339"/>
      <c r="AW8" s="339"/>
      <c r="AX8" s="339"/>
      <c r="AY8" s="339"/>
      <c r="AZ8" s="339"/>
      <c r="BA8" s="339">
        <f>'Anexa 7.3'!K1297</f>
        <v>300000</v>
      </c>
      <c r="BB8" s="339"/>
      <c r="BC8" s="339">
        <f>'Anexa 7.3'!K1359</f>
        <v>46500</v>
      </c>
      <c r="BD8" s="339"/>
      <c r="BE8" s="339"/>
      <c r="BF8" s="339"/>
      <c r="BG8" s="339"/>
      <c r="BH8" s="339">
        <f>'Anexa 7.3'!K1494</f>
        <v>50000</v>
      </c>
      <c r="BI8" s="339">
        <f>'Anexa 7.3'!K1511</f>
        <v>30000</v>
      </c>
      <c r="BJ8" s="339"/>
      <c r="BK8" s="339"/>
    </row>
    <row r="9" spans="1:63" ht="20.100000000000001" customHeight="1">
      <c r="A9" s="346" t="s">
        <v>141</v>
      </c>
      <c r="B9" s="342" t="s">
        <v>619</v>
      </c>
      <c r="C9" s="343">
        <f t="shared" si="0"/>
        <v>22982970</v>
      </c>
      <c r="D9" s="339">
        <f>'Anexa 7.3'!K8</f>
        <v>917280</v>
      </c>
      <c r="E9" s="339">
        <f>'Anexa 7.3'!K37</f>
        <v>795600</v>
      </c>
      <c r="F9" s="339">
        <f>'Anexa 7.3'!K64</f>
        <v>903474</v>
      </c>
      <c r="G9" s="339">
        <f>'Anexa 7.3'!K92+'Anexa 7.3'!K93+'Anexa 7.3'!K97+'Anexa 7.3'!K98+'Anexa 7.3'!K101</f>
        <v>581600</v>
      </c>
      <c r="H9" s="339">
        <f>'Anexa 7.3'!K132</f>
        <v>1232000</v>
      </c>
      <c r="I9" s="339">
        <f>SUM('Anexa 7.3'!K168:K172)</f>
        <v>1421396</v>
      </c>
      <c r="J9" s="339">
        <f>SUM('Anexa 7.3'!K221:K222)+'Anexa 7.3'!K223</f>
        <v>928600</v>
      </c>
      <c r="K9" s="339">
        <f>'Anexa 7.3'!K260+'Anexa 7.3'!K265</f>
        <v>360400</v>
      </c>
      <c r="L9" s="339">
        <f>'Anexa 7.3'!K293+'Anexa 7.3'!K297+'Anexa 7.3'!K301+'Anexa 7.3'!K307</f>
        <v>955200</v>
      </c>
      <c r="M9" s="339"/>
      <c r="N9" s="339"/>
      <c r="O9" s="339">
        <f>'Anexa 7.3'!K386</f>
        <v>612000</v>
      </c>
      <c r="P9" s="339">
        <f>'Anexa 7.3'!K415</f>
        <v>166400</v>
      </c>
      <c r="Q9" s="339">
        <f>'Anexa 7.3'!K438</f>
        <v>153600</v>
      </c>
      <c r="R9" s="339">
        <f>SUM('Anexa 7.3'!K472)</f>
        <v>7110000</v>
      </c>
      <c r="S9" s="339">
        <f>'Anexa 7.3'!K551+'Anexa 7.3'!K553</f>
        <v>237000</v>
      </c>
      <c r="T9" s="339">
        <f>'Anexa 7.3'!K577</f>
        <v>0</v>
      </c>
      <c r="U9" s="339">
        <f>'Anexa 7.3'!K601</f>
        <v>1106000</v>
      </c>
      <c r="V9" s="339"/>
      <c r="W9" s="339"/>
      <c r="X9" s="339">
        <f>'Anexa 7.3'!K656+'Anexa 7.3'!K657+'Anexa 7.3'!K658</f>
        <v>900000</v>
      </c>
      <c r="Y9" s="339"/>
      <c r="Z9" s="339"/>
      <c r="AA9" s="339">
        <f>'Anexa 7.3'!K724+'Anexa 7.3'!K725+'Anexa 7.3'!K732+'Anexa 7.3'!K733</f>
        <v>515200</v>
      </c>
      <c r="AB9" s="339"/>
      <c r="AC9" s="339">
        <f>'Anexa 7.3'!K781+'Anexa 7.3'!K785</f>
        <v>61200</v>
      </c>
      <c r="AD9" s="339"/>
      <c r="AE9" s="340"/>
      <c r="AF9" s="340">
        <f>'Anexa 7.3'!K886</f>
        <v>44800</v>
      </c>
      <c r="AG9" s="339"/>
      <c r="AH9" s="339"/>
      <c r="AI9" s="339"/>
      <c r="AJ9" s="339"/>
      <c r="AK9" s="339"/>
      <c r="AL9" s="339">
        <f>'Anexa 7.3'!K986</f>
        <v>517000</v>
      </c>
      <c r="AM9" s="339"/>
      <c r="AN9" s="339">
        <f>'Anexa 7.3'!K1020</f>
        <v>204000</v>
      </c>
      <c r="AO9" s="339"/>
      <c r="AP9" s="339"/>
      <c r="AQ9" s="339">
        <f>'Anexa 7.3'!K1091</f>
        <v>306000</v>
      </c>
      <c r="AR9" s="339">
        <f>'Anexa 7.3'!K1118</f>
        <v>408000</v>
      </c>
      <c r="AS9" s="339"/>
      <c r="AT9" s="339"/>
      <c r="AU9" s="339">
        <f>'Anexa 7.3'!K1172</f>
        <v>68000</v>
      </c>
      <c r="AV9" s="339"/>
      <c r="AW9" s="339">
        <f>'Anexa 7.3'!K1209+'Anexa 7.3'!K1212</f>
        <v>1333860</v>
      </c>
      <c r="AX9" s="339">
        <f>'Anexa 7.3'!K1237</f>
        <v>78000</v>
      </c>
      <c r="AY9" s="339"/>
      <c r="AZ9" s="339"/>
      <c r="BA9" s="339">
        <f>'Anexa 7.3'!K1298+'Anexa 7.3'!K1299+'Anexa 7.3'!K1300+'Anexa 7.3'!K1307</f>
        <v>707200</v>
      </c>
      <c r="BB9" s="339"/>
      <c r="BC9" s="339">
        <f>'Anexa 7.3'!K1358</f>
        <v>32480</v>
      </c>
      <c r="BD9" s="339"/>
      <c r="BE9" s="339">
        <f>'Anexa 7.3'!K1422+'Anexa 7.3'!K1428</f>
        <v>271000</v>
      </c>
      <c r="BF9" s="339"/>
      <c r="BG9" s="339"/>
      <c r="BH9" s="339"/>
      <c r="BI9" s="339">
        <f>'Anexa 7.3'!K1512+'Anexa 7.3'!K1517</f>
        <v>55680</v>
      </c>
      <c r="BJ9" s="339"/>
      <c r="BK9" s="339"/>
    </row>
    <row r="10" spans="1:63" ht="20.100000000000001" customHeight="1">
      <c r="A10" s="346" t="s">
        <v>142</v>
      </c>
      <c r="B10" s="342" t="s">
        <v>1188</v>
      </c>
      <c r="C10" s="343">
        <f t="shared" si="0"/>
        <v>3337921</v>
      </c>
      <c r="D10" s="339">
        <f>'Anexa 7.3'!K9</f>
        <v>407713</v>
      </c>
      <c r="E10" s="339">
        <f>'Anexa 7.3'!K38</f>
        <v>16000</v>
      </c>
      <c r="F10" s="339">
        <f>'Anexa 7.3'!K65</f>
        <v>80000</v>
      </c>
      <c r="G10" s="339">
        <f>'Anexa 7.3'!K94+'Anexa 7.3'!K102</f>
        <v>140000</v>
      </c>
      <c r="H10" s="339">
        <f>'Anexa 7.3'!K133+'Anexa 7.3'!K134</f>
        <v>130000</v>
      </c>
      <c r="I10" s="339">
        <f>'Anexa 7.3'!K173+'Anexa 7.3'!K174+'Anexa 7.3'!K175</f>
        <v>184000</v>
      </c>
      <c r="J10" s="339"/>
      <c r="K10" s="339">
        <f>'Anexa 7.3'!K261</f>
        <v>70000</v>
      </c>
      <c r="L10" s="339">
        <f>'Anexa 7.3'!K294+'Anexa 7.3'!K298+'Anexa 7.3'!K302</f>
        <v>280000</v>
      </c>
      <c r="M10" s="339"/>
      <c r="N10" s="339">
        <f>SUM('Anexa 7.3'!K358:K359)</f>
        <v>140000</v>
      </c>
      <c r="O10" s="339">
        <f>'Anexa 7.3'!K387+'Anexa 7.3'!K390</f>
        <v>140000</v>
      </c>
      <c r="P10" s="339">
        <f>'Anexa 7.3'!K416</f>
        <v>70000</v>
      </c>
      <c r="Q10" s="339">
        <f>'Anexa 7.3'!K440</f>
        <v>70000</v>
      </c>
      <c r="R10" s="339">
        <f>SUM('Anexa 7.3'!K473:K476)</f>
        <v>440000</v>
      </c>
      <c r="S10" s="339"/>
      <c r="T10" s="339"/>
      <c r="U10" s="339"/>
      <c r="V10" s="339"/>
      <c r="W10" s="339"/>
      <c r="X10" s="339"/>
      <c r="Y10" s="339">
        <f>'Anexa 7.3'!K687</f>
        <v>70000</v>
      </c>
      <c r="Z10" s="339"/>
      <c r="AA10" s="339">
        <f>'Anexa 7.3'!L726</f>
        <v>70000</v>
      </c>
      <c r="AB10" s="339"/>
      <c r="AC10" s="339"/>
      <c r="AD10" s="339"/>
      <c r="AE10" s="340"/>
      <c r="AF10" s="340">
        <v>0</v>
      </c>
      <c r="AG10" s="339"/>
      <c r="AH10" s="339">
        <f>'Anexa 7.3'!K815</f>
        <v>70000</v>
      </c>
      <c r="AI10" s="339">
        <f>'Anexa 7.3'!K932</f>
        <v>420000</v>
      </c>
      <c r="AJ10" s="339"/>
      <c r="AK10" s="339"/>
      <c r="AL10" s="339">
        <f>'Anexa 7.3'!K987</f>
        <v>190208</v>
      </c>
      <c r="AM10" s="339"/>
      <c r="AN10" s="339"/>
      <c r="AO10" s="339"/>
      <c r="AP10" s="339"/>
      <c r="AQ10" s="339">
        <f>'Anexa 7.3'!K1092</f>
        <v>70000</v>
      </c>
      <c r="AR10" s="339"/>
      <c r="AS10" s="339"/>
      <c r="AT10" s="339"/>
      <c r="AU10" s="339">
        <f>'Anexa 7.3'!K1173</f>
        <v>70000</v>
      </c>
      <c r="AV10" s="339"/>
      <c r="AW10" s="339">
        <f>'Anexa 7.3'!K1213</f>
        <v>140000</v>
      </c>
      <c r="AX10" s="339">
        <f>'Anexa 7.3'!K1238</f>
        <v>70000</v>
      </c>
      <c r="AY10" s="339"/>
      <c r="AZ10" s="339"/>
      <c r="BA10" s="339"/>
      <c r="BB10" s="339"/>
      <c r="BC10" s="339"/>
      <c r="BD10" s="339"/>
      <c r="BE10" s="339"/>
      <c r="BF10" s="339"/>
      <c r="BG10" s="339"/>
      <c r="BH10" s="339"/>
      <c r="BI10" s="339"/>
      <c r="BJ10" s="339"/>
      <c r="BK10" s="339"/>
    </row>
    <row r="11" spans="1:63" ht="20.100000000000001" customHeight="1">
      <c r="A11" s="346" t="s">
        <v>143</v>
      </c>
      <c r="B11" s="342" t="s">
        <v>1189</v>
      </c>
      <c r="C11" s="343">
        <f t="shared" si="0"/>
        <v>54886925</v>
      </c>
      <c r="D11" s="339">
        <f>'Anexa 7.3'!K10+'Anexa 7.3'!K11+'Anexa 7.3'!K12+'Anexa 7.3'!K13+'Anexa 7.3'!K14+'Anexa 7.3'!K15</f>
        <v>2782980</v>
      </c>
      <c r="E11" s="339">
        <f>SUM('Anexa 7.3'!K39:K43)</f>
        <v>1592023</v>
      </c>
      <c r="F11" s="339">
        <f>SUM('Anexa 7.3'!K66:K71)</f>
        <v>2169240</v>
      </c>
      <c r="G11" s="339">
        <f>'Anexa 7.3'!K95+'Anexa 7.3'!K99+'Anexa 7.3'!K103+'Anexa 7.3'!K104</f>
        <v>1029600</v>
      </c>
      <c r="H11" s="339">
        <f>'Anexa 7.3'!K129+'Anexa 7.3'!K130+'Anexa 7.3'!K131+'Anexa 7.3'!K135+'Anexa 7.3'!K136+'Anexa 7.3'!K139</f>
        <v>805200</v>
      </c>
      <c r="I11" s="339">
        <f>SUM('Anexa 7.3'!K176:K190)</f>
        <v>2379900</v>
      </c>
      <c r="J11" s="339">
        <f>SUM('Anexa 7.3'!K224:K233)</f>
        <v>747460</v>
      </c>
      <c r="K11" s="339">
        <f>'Anexa 7.3'!K252+'Anexa 7.3'!K253+'Anexa 7.3'!K256+'Anexa 7.3'!K257+'Anexa 7.3'!K258+'Anexa 7.3'!K262+'Anexa 7.3'!K263+'Anexa 7.3'!K266</f>
        <v>2041600</v>
      </c>
      <c r="L11" s="339">
        <f>'Anexa 7.3'!K295+'Anexa 7.3'!K296+'Anexa 7.3'!K299+'Anexa 7.3'!K303+'Anexa 7.3'!K304+'Anexa 7.3'!K308</f>
        <v>1086800</v>
      </c>
      <c r="M11" s="339"/>
      <c r="N11" s="339">
        <f>SUM('Anexa 7.3'!K354:K357)</f>
        <v>927000</v>
      </c>
      <c r="O11" s="339">
        <f>'Anexa 7.3'!K385+'Anexa 7.3'!K388+'Anexa 7.3'!K391</f>
        <v>1917600</v>
      </c>
      <c r="P11" s="339">
        <f>'Anexa 7.3'!K412+'Anexa 7.3'!K413+'Anexa 7.3'!K414+'Anexa 7.3'!K417</f>
        <v>915200</v>
      </c>
      <c r="Q11" s="339">
        <f>'Anexa 7.3'!K439+'Anexa 7.3'!K443+'Anexa 7.3'!K445</f>
        <v>892000</v>
      </c>
      <c r="R11" s="339">
        <f>SUM('Anexa 7.3'!K477:K488)</f>
        <v>9906900</v>
      </c>
      <c r="S11" s="339">
        <f>'Anexa 7.3'!K549+'Anexa 7.3'!K552+'Anexa 7.3'!K554+'Anexa 7.3'!K555</f>
        <v>915200</v>
      </c>
      <c r="T11" s="339">
        <f>'Anexa 7.3'!K578</f>
        <v>0</v>
      </c>
      <c r="U11" s="339">
        <f>'Anexa 7.3'!K602</f>
        <v>140800</v>
      </c>
      <c r="V11" s="339">
        <f>'Anexa 7.3'!K619</f>
        <v>206000</v>
      </c>
      <c r="W11" s="339">
        <f>SUM('Anexa 7.3'!K630:K636)</f>
        <v>2243000</v>
      </c>
      <c r="X11" s="339">
        <f>SUM('Anexa 7.3'!K659:K669)</f>
        <v>3942000</v>
      </c>
      <c r="Y11" s="339">
        <f>'Anexa 7.3'!K688</f>
        <v>486400</v>
      </c>
      <c r="Z11" s="339">
        <f>'Anexa 7.3'!K707</f>
        <v>136000</v>
      </c>
      <c r="AA11" s="339">
        <f>'Anexa 7.3'!K727+'Anexa 7.3'!K728+'Anexa 7.3'!K730+'Anexa 7.3'!K731</f>
        <v>591600</v>
      </c>
      <c r="AB11" s="339">
        <f>'Anexa 7.3'!K761+'Anexa 7.3'!K762</f>
        <v>652800</v>
      </c>
      <c r="AC11" s="339">
        <f>'Anexa 7.3'!K779+'Anexa 7.3'!K782+'Anexa 7.3'!K786</f>
        <v>736000</v>
      </c>
      <c r="AD11" s="339"/>
      <c r="AE11" s="340"/>
      <c r="AF11" s="340">
        <f>'Anexa 7.3'!K883+'Anexa 7.3'!K884+'Anexa 7.3'!K885+'Anexa 7.3'!K887+'Anexa 7.3'!K888</f>
        <v>953600</v>
      </c>
      <c r="AG11" s="339"/>
      <c r="AH11" s="339">
        <f>SUM('Anexa 7.3'!K816:K829)</f>
        <v>1892940</v>
      </c>
      <c r="AI11" s="339">
        <f>'Anexa 7.3'!K929+'Anexa 7.3'!K930+'Anexa 7.3'!K931</f>
        <v>761600</v>
      </c>
      <c r="AJ11" s="339">
        <f>'Anexa 7.3'!K954</f>
        <v>153600</v>
      </c>
      <c r="AK11" s="339">
        <f>'Anexa 7.3'!K965+'Anexa 7.3'!K966+'Anexa 7.3'!K967+'Anexa 7.3'!K969</f>
        <v>140800</v>
      </c>
      <c r="AL11" s="339"/>
      <c r="AM11" s="339"/>
      <c r="AN11" s="339">
        <f>'Anexa 7.3'!K1021+'Anexa 7.3'!K1022</f>
        <v>464000</v>
      </c>
      <c r="AO11" s="339">
        <f>'Anexa 7.3'!K1040</f>
        <v>136000</v>
      </c>
      <c r="AP11" s="339">
        <f>'Anexa 7.3'!K1072</f>
        <v>320000</v>
      </c>
      <c r="AQ11" s="339">
        <f>SUM('Anexa 7.3'!K1088:K1090)+'Anexa 7.3'!K1093</f>
        <v>1030400</v>
      </c>
      <c r="AR11" s="339">
        <f>'Anexa 7.3'!K1117+'Anexa 7.3'!K1119</f>
        <v>414000</v>
      </c>
      <c r="AS11" s="339">
        <f>'Anexa 7.3'!K1138</f>
        <v>192000</v>
      </c>
      <c r="AT11" s="339">
        <f>'Anexa 7.3'!K1154+'Anexa 7.3'!K1155</f>
        <v>592000</v>
      </c>
      <c r="AU11" s="339">
        <f>'Anexa 7.3'!K1174</f>
        <v>646000</v>
      </c>
      <c r="AV11" s="339">
        <f>'Anexa 7.3'!K1193</f>
        <v>224000</v>
      </c>
      <c r="AW11" s="339">
        <f>'Anexa 7.3'!K1210+'Anexa 7.3'!K1211+'Anexa 7.3'!K1214</f>
        <v>1288650</v>
      </c>
      <c r="AX11" s="339">
        <f>'Anexa 7.3'!K1239</f>
        <v>211200</v>
      </c>
      <c r="AY11" s="339"/>
      <c r="AZ11" s="339">
        <f>'Anexa 7.3'!K1279</f>
        <v>128000</v>
      </c>
      <c r="BA11" s="339">
        <f>'Anexa 7.3'!K1301+'Anexa 7.3'!K1302+'Anexa 7.3'!K1303+'Anexa 7.3'!K1304+'Anexa 7.3'!K1305+'Anexa 7.3'!K1308+'Anexa 7.3'!K1311</f>
        <v>2188000</v>
      </c>
      <c r="BB11" s="339"/>
      <c r="BC11" s="339">
        <f>'Anexa 7.3'!K1356+SUM('Anexa 7.3'!K1360:K1360)</f>
        <v>960000</v>
      </c>
      <c r="BD11" s="339">
        <f>'Anexa 7.3'!K1384+'Anexa 7.3'!K1386+'Anexa 7.3'!K1389+'Anexa 7.3'!K1392+'Anexa 7.3'!K1395+'Anexa 7.3'!K1397</f>
        <v>1056000</v>
      </c>
      <c r="BE11" s="339">
        <f>'Anexa 7.3'!K1423+'Anexa 7.3'!K1429</f>
        <v>448000</v>
      </c>
      <c r="BF11" s="339">
        <f>'Anexa 7.3'!K1452+'Anexa 7.3'!K1453</f>
        <v>124800</v>
      </c>
      <c r="BG11" s="339">
        <f>'Anexa 7.3'!K1471+'Anexa 7.3'!K1472+'Anexa 7.3'!K1473</f>
        <v>902988</v>
      </c>
      <c r="BH11" s="339">
        <f>'Anexa 7.3'!L1495</f>
        <v>192000</v>
      </c>
      <c r="BI11" s="339">
        <f>'Anexa 7.3'!K1513+'Anexa 7.3'!K1514+'Anexa 7.3'!K1515+'Anexa 7.3'!K1518+'Anexa 7.3'!K1519+'Anexa 7.3'!K1520</f>
        <v>223044</v>
      </c>
      <c r="BJ11" s="339"/>
      <c r="BK11" s="339"/>
    </row>
    <row r="12" spans="1:63" ht="20.100000000000001" customHeight="1">
      <c r="A12" s="346" t="s">
        <v>278</v>
      </c>
      <c r="B12" s="342" t="s">
        <v>279</v>
      </c>
      <c r="C12" s="343">
        <f t="shared" si="0"/>
        <v>5699538</v>
      </c>
      <c r="D12" s="339">
        <f>'Anexa 7.3'!K16</f>
        <v>400000</v>
      </c>
      <c r="E12" s="339">
        <f>'Anexa 7.3'!K44</f>
        <v>100284</v>
      </c>
      <c r="F12" s="339">
        <f>'Anexa 7.3'!K72</f>
        <v>270000</v>
      </c>
      <c r="G12" s="339">
        <f>'Anexa 7.3'!K96+'Anexa 7.3'!K100+'Anexa 7.3'!K105</f>
        <v>184500</v>
      </c>
      <c r="H12" s="339">
        <f>'Anexa 7.3'!K137+'Anexa 7.3'!K140</f>
        <v>123000</v>
      </c>
      <c r="I12" s="339">
        <f>SUM('Anexa 7.3'!K191:K193)</f>
        <v>377254</v>
      </c>
      <c r="J12" s="339"/>
      <c r="K12" s="339">
        <f>'Anexa 7.3'!K254+'Anexa 7.3'!K259+'Anexa 7.3'!K264</f>
        <v>184500</v>
      </c>
      <c r="L12" s="339">
        <f>'Anexa 7.3'!K300+'Anexa 7.3'!K305+'Anexa 7.3'!K309</f>
        <v>181000</v>
      </c>
      <c r="M12" s="339"/>
      <c r="N12" s="339">
        <f>SUM('Anexa 7.3'!K360:K362)</f>
        <v>91000</v>
      </c>
      <c r="O12" s="339">
        <f>'Anexa 7.3'!K389+'Anexa 7.3'!K392</f>
        <v>160000</v>
      </c>
      <c r="P12" s="339">
        <f>'Anexa 7.3'!K418</f>
        <v>66500</v>
      </c>
      <c r="Q12" s="339">
        <f>'Anexa 7.3'!K441+'Anexa 7.3'!K444</f>
        <v>48500</v>
      </c>
      <c r="R12" s="339">
        <f>SUM('Anexa 7.3'!K489:K494)</f>
        <v>779500</v>
      </c>
      <c r="S12" s="339">
        <f>'Anexa 7.3'!K550</f>
        <v>51500</v>
      </c>
      <c r="T12" s="339"/>
      <c r="U12" s="339"/>
      <c r="V12" s="339"/>
      <c r="W12" s="339"/>
      <c r="X12" s="339"/>
      <c r="Y12" s="339"/>
      <c r="Z12" s="339"/>
      <c r="AA12" s="339">
        <f>'Anexa 7.3'!K729</f>
        <v>66500</v>
      </c>
      <c r="AB12" s="339"/>
      <c r="AC12" s="339">
        <f>'Anexa 7.3'!L783+'Anexa 7.3'!L787</f>
        <v>103000</v>
      </c>
      <c r="AD12" s="339">
        <f>'Anexa 7.3'!K853</f>
        <v>36500</v>
      </c>
      <c r="AE12" s="340"/>
      <c r="AF12" s="340"/>
      <c r="AG12" s="339"/>
      <c r="AH12" s="339">
        <f>'Anexa 7.3'!K830</f>
        <v>55000</v>
      </c>
      <c r="AI12" s="339">
        <f>'Anexa 7.3'!K933</f>
        <v>75000</v>
      </c>
      <c r="AJ12" s="339">
        <f>'Anexa 7.3'!K955</f>
        <v>51500</v>
      </c>
      <c r="AK12" s="339">
        <f>'Anexa 7.3'!J970</f>
        <v>51500</v>
      </c>
      <c r="AL12" s="339"/>
      <c r="AM12" s="339"/>
      <c r="AN12" s="339"/>
      <c r="AO12" s="339"/>
      <c r="AP12" s="339"/>
      <c r="AQ12" s="339">
        <f>'Anexa 7.3'!K1094</f>
        <v>66500</v>
      </c>
      <c r="AR12" s="339"/>
      <c r="AS12" s="339"/>
      <c r="AT12" s="339"/>
      <c r="AU12" s="339">
        <f>'Anexa 7.3'!K1175</f>
        <v>75000</v>
      </c>
      <c r="AV12" s="339"/>
      <c r="AW12" s="339">
        <f>'Anexa 7.3'!K1215</f>
        <v>85000</v>
      </c>
      <c r="AX12" s="339">
        <f>'Anexa 7.3'!K1240</f>
        <v>66500</v>
      </c>
      <c r="AY12" s="339"/>
      <c r="AZ12" s="339"/>
      <c r="BA12" s="339">
        <f>'Anexa 7.3'!K1306+'Anexa 7.3'!K1309+'Anexa 7.3'!K1312</f>
        <v>199500</v>
      </c>
      <c r="BB12" s="339"/>
      <c r="BC12" s="339">
        <f>'Anexa 7.3'!K1361</f>
        <v>36500</v>
      </c>
      <c r="BD12" s="339">
        <f>'Anexa 7.3'!K1385+'Anexa 7.3'!K1387+'Anexa 7.3'!K1390+'Anexa 7.3'!K1393+'Anexa 7.3'!K1396</f>
        <v>258500</v>
      </c>
      <c r="BE12" s="339">
        <f>'Anexa 7.3'!K1424+'Anexa 7.3'!K1425+'Anexa 7.3'!K1426+'Anexa 7.3'!K1430</f>
        <v>233500</v>
      </c>
      <c r="BF12" s="339"/>
      <c r="BG12" s="339">
        <f>'Anexa 7.3'!K1474</f>
        <v>66500</v>
      </c>
      <c r="BH12" s="339"/>
      <c r="BI12" s="339">
        <f>'Anexa 7.3'!K1516+'Anexa 7.3'!K1521+'Anexa 7.3'!K1522</f>
        <v>131500</v>
      </c>
      <c r="BJ12" s="339">
        <f>'Anexa 7.3'!K1541+'Anexa 7.3'!K1542</f>
        <v>320000</v>
      </c>
      <c r="BK12" s="339">
        <f>SUM('Anexa 7.3'!K1552:K1554)</f>
        <v>704000</v>
      </c>
    </row>
    <row r="13" spans="1:63" ht="20.100000000000001" customHeight="1">
      <c r="A13" s="345" t="s">
        <v>114</v>
      </c>
      <c r="B13" s="341" t="s">
        <v>1438</v>
      </c>
      <c r="C13" s="478"/>
      <c r="D13" s="340"/>
      <c r="E13" s="340"/>
      <c r="F13" s="340"/>
      <c r="G13" s="340"/>
      <c r="H13" s="478"/>
      <c r="I13" s="478"/>
      <c r="J13" s="478"/>
      <c r="K13" s="340"/>
      <c r="L13" s="340"/>
      <c r="M13" s="478"/>
      <c r="N13" s="478"/>
      <c r="O13" s="340"/>
      <c r="P13" s="340"/>
      <c r="Q13" s="478"/>
      <c r="R13" s="478"/>
      <c r="S13" s="340"/>
      <c r="T13" s="340"/>
      <c r="U13" s="340"/>
      <c r="V13" s="340"/>
      <c r="W13" s="340"/>
      <c r="X13" s="340"/>
      <c r="Y13" s="340"/>
      <c r="Z13" s="340"/>
      <c r="AA13" s="478"/>
      <c r="AB13" s="478"/>
      <c r="AC13" s="478"/>
      <c r="AD13" s="478"/>
      <c r="AE13" s="478"/>
      <c r="AF13" s="478"/>
      <c r="AG13" s="478"/>
      <c r="AH13" s="478"/>
      <c r="AI13" s="478"/>
      <c r="AJ13" s="478"/>
      <c r="AK13" s="478"/>
      <c r="AL13" s="478"/>
      <c r="AM13" s="339"/>
      <c r="AN13" s="339"/>
      <c r="AO13" s="339"/>
      <c r="AP13" s="339"/>
      <c r="AQ13" s="339"/>
      <c r="AR13" s="339"/>
      <c r="AS13" s="339"/>
      <c r="AT13" s="339"/>
      <c r="AU13" s="339"/>
      <c r="AV13" s="339"/>
      <c r="AW13" s="339"/>
      <c r="AX13" s="339"/>
      <c r="AY13" s="339"/>
      <c r="AZ13" s="339"/>
      <c r="BA13" s="339"/>
      <c r="BB13" s="339"/>
      <c r="BC13" s="339"/>
      <c r="BD13" s="339"/>
      <c r="BE13" s="339"/>
      <c r="BF13" s="339"/>
      <c r="BG13" s="339"/>
      <c r="BH13" s="339"/>
      <c r="BI13" s="339"/>
      <c r="BJ13" s="339"/>
      <c r="BK13" s="339"/>
    </row>
    <row r="14" spans="1:63" ht="20.100000000000001" customHeight="1">
      <c r="A14" s="1156" t="s">
        <v>115</v>
      </c>
      <c r="B14" s="1157" t="s">
        <v>323</v>
      </c>
      <c r="C14" s="343">
        <f>SUM(D14:BK14)</f>
        <v>21405900</v>
      </c>
      <c r="D14" s="340">
        <f>'Anexa 7.3'!K22+'Anexa 7.3'!K24+'Anexa 7.3'!K25+'Anexa 7.3'!K27</f>
        <v>353000</v>
      </c>
      <c r="E14" s="340">
        <f>'Anexa 7.3'!K50+'Anexa 7.3'!K51+'Anexa 7.3'!K53</f>
        <v>256000</v>
      </c>
      <c r="F14" s="340">
        <f>'Anexa 7.3'!K78+'Anexa 7.3'!K80+'Anexa 7.3'!K82</f>
        <v>268500</v>
      </c>
      <c r="G14" s="340">
        <f>'Anexa 7.3'!K111+'Anexa 7.3'!K113+'Anexa 7.3'!K115+'Anexa 7.3'!K116+'Anexa 7.3'!K118</f>
        <v>483500</v>
      </c>
      <c r="H14" s="340">
        <f>'Anexa 7.3'!K150+'Anexa 7.3'!K152+'Anexa 7.3'!K153+'Anexa 7.3'!K155+'Anexa 7.3'!K157</f>
        <v>493500</v>
      </c>
      <c r="I14" s="340">
        <f>'Anexa 7.3'!K205+'Anexa 7.3'!K207+'Anexa 7.3'!K209+'Anexa 7.3'!K211</f>
        <v>462000</v>
      </c>
      <c r="J14" s="340">
        <f>'Anexa 7.3'!K239+'Anexa 7.3'!K241</f>
        <v>162000</v>
      </c>
      <c r="K14" s="340">
        <f>'Anexa 7.3'!K272+'Anexa 7.3'!K275+'Anexa 7.3'!K276+'Anexa 7.3'!K277+'Anexa 7.3'!K279+'Anexa 7.3'!K280+'Anexa 7.3'!K281+'Anexa 7.3'!K282+'Anexa 7.3'!K283</f>
        <v>747500</v>
      </c>
      <c r="L14" s="340">
        <f>'Anexa 7.3'!K315+'Anexa 7.3'!K317+'Anexa 7.3'!K318+'Anexa 7.3'!K320+'Anexa 7.3'!K322</f>
        <v>517500</v>
      </c>
      <c r="M14" s="340">
        <f>'Anexa 7.3'!K332+'Anexa 7.3'!K334+'Anexa 7.3'!K337+'Anexa 7.3'!K339+'Anexa 7.3'!K340</f>
        <v>863900</v>
      </c>
      <c r="N14" s="340">
        <f>'Anexa 7.3'!K369+'Anexa 7.3'!K373+'Anexa 7.3'!K374</f>
        <v>187500</v>
      </c>
      <c r="O14" s="340"/>
      <c r="P14" s="340"/>
      <c r="Q14" s="340">
        <f>'Anexa 7.3'!K454+'Anexa 7.3'!K456</f>
        <v>176500</v>
      </c>
      <c r="R14" s="340">
        <f>SUM('Anexa 7.3'!K501:K506)</f>
        <v>6265500</v>
      </c>
      <c r="S14" s="340">
        <f>'Anexa 7.3'!K561</f>
        <v>70000</v>
      </c>
      <c r="T14" s="340">
        <f>'Anexa 7.3'!K584+'Anexa 7.3'!K587+'Anexa 7.3'!K589</f>
        <v>426000</v>
      </c>
      <c r="U14" s="340"/>
      <c r="V14" s="340"/>
      <c r="W14" s="340"/>
      <c r="X14" s="340"/>
      <c r="Y14" s="340">
        <f>'Anexa 7.3'!K694</f>
        <v>214000</v>
      </c>
      <c r="Z14" s="340"/>
      <c r="AA14" s="340">
        <f>'Anexa 7.3'!K739+'Anexa 7.3'!K742+'Anexa 7.3'!K745+'Anexa 7.3'!K748+'Anexa 7.3'!K749</f>
        <v>655500</v>
      </c>
      <c r="AB14" s="340"/>
      <c r="AC14" s="340">
        <f>'Anexa 7.3'!K793+'Anexa 7.3'!K796+'Anexa 7.3'!K797</f>
        <v>305500</v>
      </c>
      <c r="AD14" s="312"/>
      <c r="AE14" s="340">
        <f>'Anexa 7.3'!K861+'Anexa 7.3'!K864+'Anexa 7.3'!K866+'Anexa 7.3'!K868+'Anexa 7.3'!K870+'Anexa 7.3'!K872</f>
        <v>630000</v>
      </c>
      <c r="AF14" s="340">
        <f>'Anexa 7.3'!K894+'Anexa 7.3'!K899+'Anexa 7.3'!K901+'Anexa 7.3'!K903+'Anexa 7.3'!K904</f>
        <v>658000</v>
      </c>
      <c r="AG14" s="340">
        <f>'Anexa 7.3'!K914+'Anexa 7.3'!K916+'Anexa 7.3'!K918+'Anexa 7.3'!K919</f>
        <v>471000</v>
      </c>
      <c r="AH14" s="340"/>
      <c r="AI14" s="340">
        <f>'Anexa 7.3'!K941</f>
        <v>214000</v>
      </c>
      <c r="AJ14" s="340"/>
      <c r="AK14" s="339">
        <f>'Anexa 7.3'!K976</f>
        <v>70000</v>
      </c>
      <c r="AL14" s="339">
        <f>'Anexa 7.3'!K993+'Anexa 7.3'!K996+'Anexa 7.3'!K998</f>
        <v>458000</v>
      </c>
      <c r="AM14" s="339"/>
      <c r="AN14" s="339">
        <f>'Anexa 7.3'!K1030</f>
        <v>70000</v>
      </c>
      <c r="AO14" s="339"/>
      <c r="AP14" s="339"/>
      <c r="AQ14" s="339">
        <f>'Anexa 7.3'!K1100+'Anexa 7.3'!K1106</f>
        <v>456500</v>
      </c>
      <c r="AR14" s="339">
        <f>'Anexa 7.3'!K1127</f>
        <v>106500</v>
      </c>
      <c r="AS14" s="339"/>
      <c r="AT14" s="339"/>
      <c r="AU14" s="339"/>
      <c r="AV14" s="339"/>
      <c r="AW14" s="339">
        <f>'Anexa 7.3'!K1221+'Anexa 7.3'!K1224+'Anexa 7.3'!K1227</f>
        <v>433500</v>
      </c>
      <c r="AX14" s="339">
        <f>'Anexa 7.3'!K1246+'Anexa 7.3'!K1249+'Anexa 7.3'!K1251+'Anexa 7.3'!K1253+'Anexa 7.3'!K1254+'Anexa 7.3'!K1256+'Anexa 7.3'!K1258</f>
        <v>800500</v>
      </c>
      <c r="AY14" s="339"/>
      <c r="AZ14" s="339">
        <f>'Anexa 7.3'!K1285</f>
        <v>198000</v>
      </c>
      <c r="BA14" s="339">
        <f>'Anexa 7.3'!K1318+'Anexa 7.3'!K1320+'Anexa 7.3'!K1321+'Anexa 7.3'!K1323+'Anexa 7.3'!K1325+'Anexa 7.3'!K1327+'Anexa 7.3'!K1328</f>
        <v>730000</v>
      </c>
      <c r="BB14" s="339">
        <f>'Anexa 7.3'!K1338+'Anexa 7.3'!K1340+'Anexa 7.3'!K1341+'Anexa 7.3'!K1342+'Anexa 7.3'!K1343+'Anexa 7.3'!K1344+'Anexa 7.3'!K1346+'Anexa 7.3'!K1345</f>
        <v>1103000</v>
      </c>
      <c r="BC14" s="339">
        <f>'Anexa 7.3'!K1372</f>
        <v>165500</v>
      </c>
      <c r="BD14" s="339">
        <f>'Anexa 7.3'!K1406+'Anexa 7.3'!K1407+'Anexa 7.3'!K1408+'Anexa 7.3'!K1409+'Anexa 7.3'!K1410</f>
        <v>362000</v>
      </c>
      <c r="BE14" s="339">
        <f>'Anexa 7.3'!K1436+'Anexa 7.3'!K1438+'Anexa 7.3'!K1440+'Anexa 7.3'!K1442</f>
        <v>522000</v>
      </c>
      <c r="BF14" s="339"/>
      <c r="BG14" s="339">
        <f>'Anexa 7.3'!K1480+'Anexa 7.3'!K1483</f>
        <v>309000</v>
      </c>
      <c r="BH14" s="339"/>
      <c r="BI14" s="339">
        <f>'Anexa 7.3'!K1528+'Anexa 7.3'!K1530</f>
        <v>272000</v>
      </c>
      <c r="BJ14" s="339"/>
      <c r="BK14" s="339">
        <f>'Anexa 7.3'!K1560+'Anexa 7.3'!K1562+'Anexa 7.3'!K1563+'Anexa 7.3'!K1564+'Anexa 7.3'!K1565</f>
        <v>468500</v>
      </c>
    </row>
    <row r="15" spans="1:63" ht="20.100000000000001" customHeight="1">
      <c r="A15" s="346" t="s">
        <v>116</v>
      </c>
      <c r="B15" s="342" t="s">
        <v>144</v>
      </c>
      <c r="C15" s="343">
        <f>SUM(D15:BK15)</f>
        <v>5590618</v>
      </c>
      <c r="D15" s="339"/>
      <c r="E15" s="339"/>
      <c r="F15" s="339"/>
      <c r="G15" s="339"/>
      <c r="H15" s="339">
        <f>'Anexa 7.3'!K146</f>
        <v>99000</v>
      </c>
      <c r="I15" s="339">
        <f>'Anexa 7.3'!K202</f>
        <v>153600</v>
      </c>
      <c r="J15" s="339"/>
      <c r="K15" s="339"/>
      <c r="L15" s="339"/>
      <c r="M15" s="311"/>
      <c r="N15" s="339"/>
      <c r="O15" s="339"/>
      <c r="P15" s="339">
        <f>'Anexa 7.3'!K424</f>
        <v>528000</v>
      </c>
      <c r="Q15" s="339">
        <f>'Anexa 7.3'!K452</f>
        <v>528000</v>
      </c>
      <c r="R15" s="339"/>
      <c r="S15" s="339">
        <f>'Anexa 7.3'!K562+'Anexa 7.3'!K563</f>
        <v>800800</v>
      </c>
      <c r="T15" s="339">
        <f>'Anexa 7.3'!K585</f>
        <v>825000</v>
      </c>
      <c r="U15" s="339"/>
      <c r="V15" s="339"/>
      <c r="W15" s="339"/>
      <c r="X15" s="339"/>
      <c r="Y15" s="339">
        <f>'Anexa 7.3'!K695</f>
        <v>110600</v>
      </c>
      <c r="Z15" s="339"/>
      <c r="AA15" s="339"/>
      <c r="AB15" s="339"/>
      <c r="AC15" s="339"/>
      <c r="AD15" s="339"/>
      <c r="AE15" s="340"/>
      <c r="AF15" s="340">
        <f>'Anexa 7.3'!K895</f>
        <v>660000</v>
      </c>
      <c r="AG15" s="339"/>
      <c r="AH15" s="339"/>
      <c r="AI15" s="339"/>
      <c r="AJ15" s="339"/>
      <c r="AK15" s="339"/>
      <c r="AL15" s="339"/>
      <c r="AM15" s="339"/>
      <c r="AN15" s="311"/>
      <c r="AO15" s="339">
        <f>SUM('Anexa 7.3'!K1046:K1049)</f>
        <v>299618</v>
      </c>
      <c r="AP15" s="339"/>
      <c r="AQ15" s="339"/>
      <c r="AR15" s="339">
        <f>'Anexa 7.3'!K1125</f>
        <v>165500</v>
      </c>
      <c r="AS15" s="339"/>
      <c r="AT15" s="339"/>
      <c r="AU15" s="339">
        <f>'Anexa 7.3'!K1182</f>
        <v>948000</v>
      </c>
      <c r="AV15" s="339"/>
      <c r="AW15" s="339"/>
      <c r="AX15" s="339"/>
      <c r="AY15" s="339"/>
      <c r="AZ15" s="339"/>
      <c r="BA15" s="339"/>
      <c r="BB15" s="339"/>
      <c r="BC15" s="339">
        <f>'Anexa 7.3'!K1367</f>
        <v>60000</v>
      </c>
      <c r="BD15" s="339">
        <f>'Anexa 7.3'!K1403</f>
        <v>412500</v>
      </c>
      <c r="BE15" s="339"/>
      <c r="BF15" s="339"/>
      <c r="BG15" s="339"/>
      <c r="BH15" s="339"/>
      <c r="BI15" s="339"/>
      <c r="BJ15" s="339"/>
      <c r="BK15" s="339"/>
    </row>
    <row r="16" spans="1:63" ht="20.100000000000001" customHeight="1">
      <c r="A16" s="346" t="s">
        <v>145</v>
      </c>
      <c r="B16" s="342" t="s">
        <v>324</v>
      </c>
      <c r="C16" s="343">
        <f>SUM(D16:BK16)</f>
        <v>4270000</v>
      </c>
      <c r="D16" s="339"/>
      <c r="E16" s="339"/>
      <c r="F16" s="339"/>
      <c r="G16" s="339"/>
      <c r="H16" s="339">
        <f>'Anexa 7.3'!K147</f>
        <v>134000</v>
      </c>
      <c r="I16" s="339">
        <f>'Anexa 7.3'!K200+'Anexa 7.3'!K203</f>
        <v>134000</v>
      </c>
      <c r="J16" s="339"/>
      <c r="K16" s="339"/>
      <c r="L16" s="339"/>
      <c r="M16" s="339"/>
      <c r="N16" s="339">
        <f>'Anexa 7.3'!K370</f>
        <v>201000</v>
      </c>
      <c r="O16" s="339">
        <f>'Anexa 7.3'!K398+'Anexa 7.3'!K399</f>
        <v>268000</v>
      </c>
      <c r="P16" s="339"/>
      <c r="Q16" s="339"/>
      <c r="R16" s="339">
        <f>SUM('Anexa 7.3'!K507:K511)</f>
        <v>402000</v>
      </c>
      <c r="S16" s="339">
        <f>'Anexa 7.3'!K564</f>
        <v>268000</v>
      </c>
      <c r="T16" s="339"/>
      <c r="U16" s="339"/>
      <c r="V16" s="339"/>
      <c r="W16" s="339"/>
      <c r="X16" s="339"/>
      <c r="Y16" s="339">
        <f>'Anexa 7.3'!K696</f>
        <v>268000</v>
      </c>
      <c r="Z16" s="339"/>
      <c r="AA16" s="339">
        <f>'Anexa 7.3'!K740+'Anexa 7.3'!K743+'Anexa 7.3'!K746+'Anexa 7.3'!K750</f>
        <v>268000</v>
      </c>
      <c r="AB16" s="339"/>
      <c r="AC16" s="311"/>
      <c r="AD16" s="339"/>
      <c r="AE16" s="340">
        <f>'Anexa 7.3'!K862</f>
        <v>134000</v>
      </c>
      <c r="AF16" s="340">
        <f>'Anexa 7.3'!K896</f>
        <v>134000</v>
      </c>
      <c r="AG16" s="339"/>
      <c r="AH16" s="339"/>
      <c r="AI16" s="339">
        <f>'Anexa 7.3'!K942</f>
        <v>335000</v>
      </c>
      <c r="AJ16" s="339"/>
      <c r="AK16" s="339"/>
      <c r="AL16" s="339">
        <f>'Anexa 7.3'!K994</f>
        <v>134000</v>
      </c>
      <c r="AM16" s="339"/>
      <c r="AN16" s="339"/>
      <c r="AO16" s="339">
        <f>SUM('Anexa 7.3'!K1061:K1062)</f>
        <v>719000</v>
      </c>
      <c r="AP16" s="339"/>
      <c r="AQ16" s="339">
        <f>'Anexa 7.3'!K1101+'Anexa 7.3'!K1102</f>
        <v>201000</v>
      </c>
      <c r="AR16" s="339"/>
      <c r="AS16" s="339"/>
      <c r="AT16" s="339"/>
      <c r="AU16" s="339"/>
      <c r="AV16" s="339"/>
      <c r="AW16" s="339"/>
      <c r="AX16" s="339"/>
      <c r="AY16" s="339"/>
      <c r="AZ16" s="339"/>
      <c r="BA16" s="339"/>
      <c r="BB16" s="339"/>
      <c r="BC16" s="339">
        <f>'Anexa 7.3'!K1368+'Anexa 7.3'!K1370</f>
        <v>335000</v>
      </c>
      <c r="BD16" s="339">
        <f>'Anexa 7.3'!K1404</f>
        <v>67000</v>
      </c>
      <c r="BE16" s="339"/>
      <c r="BF16" s="339"/>
      <c r="BG16" s="339">
        <f>'Anexa 7.3'!K1481</f>
        <v>268000</v>
      </c>
      <c r="BH16" s="339"/>
      <c r="BI16" s="339"/>
      <c r="BJ16" s="339"/>
      <c r="BK16" s="339"/>
    </row>
    <row r="17" spans="1:63" ht="20.100000000000001" customHeight="1">
      <c r="A17" s="346" t="s">
        <v>146</v>
      </c>
      <c r="B17" s="342" t="s">
        <v>325</v>
      </c>
      <c r="C17" s="343">
        <f>SUM(D17:BK17)</f>
        <v>118662620.92</v>
      </c>
      <c r="D17" s="339">
        <f>'Anexa 7.3'!K23+'Anexa 7.3'!K26</f>
        <v>2926000</v>
      </c>
      <c r="E17" s="339">
        <f>'Anexa 7.3'!K52+'Anexa 7.3'!K54</f>
        <v>1463000</v>
      </c>
      <c r="F17" s="339">
        <f>'Anexa 7.3'!K79+'Anexa 7.3'!K81</f>
        <v>2233000</v>
      </c>
      <c r="G17" s="339">
        <f>'Anexa 7.3'!K112+'Anexa 7.3'!K114+'Anexa 7.3'!K117+'Anexa 7.3'!K119</f>
        <v>3896200</v>
      </c>
      <c r="H17" s="339">
        <f>'Anexa 7.3'!K148+'Anexa 7.3'!K149+'Anexa 7.3'!K151+'Anexa 7.3'!K154+'Anexa 7.3'!K156</f>
        <v>3910500</v>
      </c>
      <c r="I17" s="339">
        <f>'Anexa 7.3'!K201+'Anexa 7.3'!K204+'Anexa 7.3'!K206+'Anexa 7.3'!K208+'Anexa 7.3'!K210</f>
        <v>6314000</v>
      </c>
      <c r="J17" s="339">
        <f>'Anexa 7.3'!K240</f>
        <v>723800</v>
      </c>
      <c r="K17" s="339">
        <f>'Anexa 7.3'!K273+'Anexa 7.3'!K274+'Anexa 7.3'!K278</f>
        <v>2217600</v>
      </c>
      <c r="L17" s="339">
        <f>'Anexa 7.3'!K316+'Anexa 7.3'!K319+'Anexa 7.3'!K321</f>
        <v>1786400</v>
      </c>
      <c r="M17" s="339">
        <f>'Anexa 7.3'!K333+'Anexa 7.3'!K335+'Anexa 7.3'!K336+'Anexa 7.3'!K338</f>
        <v>2161200</v>
      </c>
      <c r="N17" s="339">
        <f>'Anexa 7.3'!K371+'Anexa 7.3'!K372+'Anexa 7.3'!K375+'Anexa 7.3'!L368</f>
        <v>2808168</v>
      </c>
      <c r="O17" s="339">
        <f>'Anexa 7.3'!K400+'Anexa 7.3'!K401+'Anexa 7.3'!K402</f>
        <v>5115000</v>
      </c>
      <c r="P17" s="339">
        <f>SUM('Anexa 7.3'!K425:K428)</f>
        <v>2279200</v>
      </c>
      <c r="Q17" s="339">
        <f>'Anexa 7.3'!K453+'Anexa 7.3'!K455+'Anexa 7.3'!L457</f>
        <v>2079000</v>
      </c>
      <c r="R17" s="339">
        <f>SUM('Anexa 7.3'!K512:K521)</f>
        <v>4989000</v>
      </c>
      <c r="S17" s="339">
        <f>'Anexa 7.3'!K565+'Anexa 7.3'!K566</f>
        <v>1555400</v>
      </c>
      <c r="T17" s="339">
        <f>'Anexa 7.3'!K586+'Anexa 7.3'!K588+'Anexa 7.3'!K590</f>
        <v>2109800</v>
      </c>
      <c r="U17" s="339">
        <f>'Anexa 7.3'!K608</f>
        <v>1139600</v>
      </c>
      <c r="V17" s="339"/>
      <c r="W17" s="339">
        <f>SUM('Anexa 7.3'!K643:K643)</f>
        <v>693000</v>
      </c>
      <c r="X17" s="339">
        <f>'Anexa 7.3'!K675+'Anexa 7.3'!K676+'Anexa 7.3'!K677</f>
        <v>2310000</v>
      </c>
      <c r="Y17" s="339">
        <f>'Anexa 7.3'!K697</f>
        <v>1586200</v>
      </c>
      <c r="Z17" s="339">
        <f>'Anexa 7.3'!K713</f>
        <v>924000</v>
      </c>
      <c r="AA17" s="339">
        <f>'Anexa 7.3'!K741+'Anexa 7.3'!K744+'Anexa 7.3'!K747+'Anexa 7.3'!K751</f>
        <v>2079000</v>
      </c>
      <c r="AB17" s="339">
        <f>'Anexa 7.3'!K768+'Anexa 7.3'!K769</f>
        <v>3418800</v>
      </c>
      <c r="AC17" s="339">
        <f>'Anexa 7.3'!K794+'Anexa 7.3'!K795</f>
        <v>1259500</v>
      </c>
      <c r="AD17" s="339"/>
      <c r="AE17" s="340">
        <f>'Anexa 7.3'!K863+'Anexa 7.3'!K865+'Anexa 7.3'!K867+'Anexa 7.3'!K869+'Anexa 7.3'!K871+'Anexa 7.3'!K873</f>
        <v>5863858</v>
      </c>
      <c r="AF17" s="340">
        <f>'Anexa 7.3'!K897+'Anexa 7.3'!K898+'Anexa 7.3'!K900+'Anexa 7.3'!K902</f>
        <v>2849000</v>
      </c>
      <c r="AG17" s="339">
        <f>'Anexa 7.3'!K915+'Anexa 7.3'!K917</f>
        <v>1971200</v>
      </c>
      <c r="AH17" s="339">
        <f>SUM('Anexa 7.3'!K836:K841)</f>
        <v>4466000</v>
      </c>
      <c r="AI17" s="339">
        <f>'Anexa 7.3'!K939+'Anexa 7.3'!K940+'Anexa 7.3'!K943</f>
        <v>2541000</v>
      </c>
      <c r="AJ17" s="339"/>
      <c r="AK17" s="339"/>
      <c r="AL17" s="339">
        <f>'Anexa 7.3'!K995+'Anexa 7.3'!K997+'Anexa 7.3'!K999</f>
        <v>1647800</v>
      </c>
      <c r="AM17" s="339">
        <f>'Anexa 7.3'!K1009+'Anexa 7.3'!K1010</f>
        <v>385000</v>
      </c>
      <c r="AN17" s="339">
        <f>'Anexa 7.3'!K1028+'Anexa 7.3'!K1029</f>
        <v>1078000</v>
      </c>
      <c r="AO17" s="339">
        <f>SUM('Anexa 7.3'!K1050:K1055)</f>
        <v>1228195</v>
      </c>
      <c r="AP17" s="339">
        <f>'Anexa 7.3'!K1078</f>
        <v>616000</v>
      </c>
      <c r="AQ17" s="339">
        <f>'Anexa 7.3'!K1103+'Anexa 7.3'!K1104+'Anexa 7.3'!K1105+'Anexa 7.3'!K1107</f>
        <v>3249400</v>
      </c>
      <c r="AR17" s="339">
        <f>'Anexa 7.3'!K1126+'Anexa 7.3'!K1128</f>
        <v>1971200</v>
      </c>
      <c r="AS17" s="339">
        <f>'Anexa 7.3'!K1144</f>
        <v>308000</v>
      </c>
      <c r="AT17" s="339">
        <f>'Anexa 7.3'!L1161</f>
        <v>1078000</v>
      </c>
      <c r="AU17" s="339">
        <f>'Anexa 7.3'!K1181+'Anexa 7.3'!K1183</f>
        <v>1078000</v>
      </c>
      <c r="AV17" s="339">
        <f>'Anexa 7.3'!K1199</f>
        <v>462000</v>
      </c>
      <c r="AW17" s="339">
        <f>'Anexa 7.3'!K1222+'Anexa 7.3'!K1223+'Anexa 7.3'!K1225+'Anexa 7.3'!K1226</f>
        <v>2062500</v>
      </c>
      <c r="AX17" s="339">
        <f>'Anexa 7.3'!K1247+'Anexa 7.3'!K1248+'Anexa 7.3'!K1250+'Anexa 7.3'!K1252+'Anexa 7.3'!K1255+'Anexa 7.3'!K1257+'Anexa 7.3'!K1259</f>
        <v>5623200</v>
      </c>
      <c r="AY17" s="339">
        <f>'Anexa 7.3'!K1269</f>
        <v>165000</v>
      </c>
      <c r="AZ17" s="339">
        <f>'Anexa 7.3'!K1286</f>
        <v>1006500</v>
      </c>
      <c r="BA17" s="339">
        <f>'Anexa 7.3'!K1319+'Anexa 7.3'!K1322+'Anexa 7.3'!K1324+'Anexa 7.3'!K1326</f>
        <v>3696000</v>
      </c>
      <c r="BB17" s="339">
        <f>'Anexa 7.3'!K1339</f>
        <v>926999.91999999993</v>
      </c>
      <c r="BC17" s="339">
        <f>'Anexa 7.3'!K1369+'Anexa 7.3'!K1371+'Anexa 7.3'!K1373</f>
        <v>2002000</v>
      </c>
      <c r="BD17" s="339">
        <f>'Anexa 7.3'!K1405+'Anexa 7.3'!K1411</f>
        <v>1232000</v>
      </c>
      <c r="BE17" s="339">
        <f>'Anexa 7.3'!K1437+'Anexa 7.3'!K1439+'Anexa 7.3'!K1441</f>
        <v>2017400</v>
      </c>
      <c r="BF17" s="339">
        <f>'Anexa 7.3'!K1459+'Anexa 7.3'!K1460+'Anexa 7.3'!K1461</f>
        <v>816200</v>
      </c>
      <c r="BG17" s="339">
        <f>'Anexa 7.3'!K1482+'Anexa 7.3'!K1484</f>
        <v>2156000</v>
      </c>
      <c r="BH17" s="339">
        <f>'Anexa 7.3'!L1501</f>
        <v>924000</v>
      </c>
      <c r="BI17" s="339">
        <f>'Anexa 7.3'!K1529+'Anexa 7.3'!K1531</f>
        <v>1185800</v>
      </c>
      <c r="BJ17" s="339"/>
      <c r="BK17" s="339">
        <f>'Anexa 7.3'!K1561+'Anexa 7.3'!K1566</f>
        <v>2079000</v>
      </c>
    </row>
    <row r="18" spans="1:63" ht="20.100000000000001" customHeight="1">
      <c r="A18" s="347" t="s">
        <v>281</v>
      </c>
      <c r="B18" s="344" t="s">
        <v>326</v>
      </c>
      <c r="C18" s="343"/>
      <c r="D18" s="339"/>
      <c r="E18" s="339"/>
      <c r="F18" s="339"/>
      <c r="G18" s="339"/>
      <c r="H18" s="339"/>
      <c r="I18" s="339"/>
      <c r="J18" s="339"/>
      <c r="K18" s="339"/>
      <c r="L18" s="339"/>
      <c r="M18" s="339"/>
      <c r="N18" s="339"/>
      <c r="O18" s="339"/>
      <c r="P18" s="339"/>
      <c r="Q18" s="339"/>
      <c r="R18" s="339"/>
      <c r="S18" s="339"/>
      <c r="T18" s="339"/>
      <c r="U18" s="339"/>
      <c r="V18" s="339"/>
      <c r="W18" s="339"/>
      <c r="X18" s="339"/>
      <c r="Y18" s="339"/>
      <c r="Z18" s="339"/>
      <c r="AA18" s="339"/>
      <c r="AB18" s="339"/>
      <c r="AC18" s="339"/>
      <c r="AD18" s="339"/>
      <c r="AE18" s="340"/>
      <c r="AF18" s="340"/>
      <c r="AG18" s="339"/>
      <c r="AH18" s="339"/>
      <c r="AI18" s="339"/>
      <c r="AJ18" s="339"/>
      <c r="AK18" s="339"/>
      <c r="AL18" s="339"/>
      <c r="AM18" s="339"/>
      <c r="AN18" s="339"/>
      <c r="AO18" s="339"/>
      <c r="AP18" s="339"/>
      <c r="AQ18" s="339"/>
      <c r="AR18" s="339"/>
      <c r="AS18" s="339"/>
      <c r="AT18" s="339"/>
      <c r="AU18" s="339"/>
      <c r="AV18" s="339"/>
      <c r="AW18" s="339"/>
      <c r="AX18" s="339"/>
      <c r="AY18" s="339"/>
      <c r="AZ18" s="339"/>
      <c r="BA18" s="339"/>
      <c r="BB18" s="339"/>
      <c r="BC18" s="339"/>
      <c r="BD18" s="339"/>
      <c r="BE18" s="339"/>
      <c r="BF18" s="339"/>
      <c r="BG18" s="339"/>
      <c r="BH18" s="339"/>
      <c r="BI18" s="339"/>
      <c r="BJ18" s="339"/>
      <c r="BK18" s="339"/>
    </row>
    <row r="19" spans="1:63" ht="20.100000000000001" customHeight="1">
      <c r="A19" s="347" t="s">
        <v>282</v>
      </c>
      <c r="B19" s="344" t="s">
        <v>1190</v>
      </c>
      <c r="C19" s="343"/>
      <c r="D19" s="339"/>
      <c r="E19" s="339"/>
      <c r="F19" s="339"/>
      <c r="G19" s="339"/>
      <c r="H19" s="339"/>
      <c r="I19" s="339"/>
      <c r="J19" s="339"/>
      <c r="K19" s="339"/>
      <c r="L19" s="339"/>
      <c r="M19" s="339"/>
      <c r="N19" s="339"/>
      <c r="O19" s="339"/>
      <c r="P19" s="339"/>
      <c r="Q19" s="339"/>
      <c r="R19" s="339"/>
      <c r="S19" s="339"/>
      <c r="T19" s="339"/>
      <c r="U19" s="339"/>
      <c r="V19" s="339"/>
      <c r="W19" s="339"/>
      <c r="X19" s="339"/>
      <c r="Y19" s="339"/>
      <c r="Z19" s="339"/>
      <c r="AA19" s="339"/>
      <c r="AB19" s="339"/>
      <c r="AC19" s="339"/>
      <c r="AD19" s="339"/>
      <c r="AE19" s="340"/>
      <c r="AF19" s="340"/>
      <c r="AG19" s="339"/>
      <c r="AH19" s="339"/>
      <c r="AI19" s="339"/>
      <c r="AJ19" s="339"/>
      <c r="AK19" s="339"/>
      <c r="AL19" s="339"/>
      <c r="AM19" s="339"/>
      <c r="AN19" s="339"/>
      <c r="AO19" s="339"/>
      <c r="AP19" s="339"/>
      <c r="AQ19" s="339"/>
      <c r="AR19" s="339"/>
      <c r="AS19" s="339"/>
      <c r="AT19" s="339"/>
      <c r="AU19" s="339"/>
      <c r="AV19" s="339"/>
      <c r="AW19" s="339"/>
      <c r="AX19" s="339"/>
      <c r="AY19" s="339"/>
      <c r="AZ19" s="339"/>
      <c r="BA19" s="339"/>
      <c r="BB19" s="339"/>
      <c r="BC19" s="339"/>
      <c r="BD19" s="339"/>
      <c r="BE19" s="339"/>
      <c r="BF19" s="339"/>
      <c r="BG19" s="339"/>
      <c r="BH19" s="339"/>
      <c r="BI19" s="339"/>
      <c r="BJ19" s="339"/>
      <c r="BK19" s="339"/>
    </row>
    <row r="20" spans="1:63" ht="20.100000000000001" customHeight="1">
      <c r="A20" s="347" t="s">
        <v>283</v>
      </c>
      <c r="B20" s="344" t="s">
        <v>179</v>
      </c>
      <c r="C20" s="343"/>
      <c r="D20" s="339"/>
      <c r="E20" s="339"/>
      <c r="F20" s="339"/>
      <c r="G20" s="339"/>
      <c r="H20" s="339"/>
      <c r="I20" s="339"/>
      <c r="J20" s="339"/>
      <c r="K20" s="339"/>
      <c r="L20" s="339"/>
      <c r="M20" s="339"/>
      <c r="N20" s="339"/>
      <c r="O20" s="339"/>
      <c r="P20" s="339"/>
      <c r="Q20" s="339"/>
      <c r="R20" s="339"/>
      <c r="S20" s="339"/>
      <c r="T20" s="339"/>
      <c r="U20" s="339"/>
      <c r="V20" s="339"/>
      <c r="W20" s="339"/>
      <c r="X20" s="339"/>
      <c r="Y20" s="339"/>
      <c r="Z20" s="339"/>
      <c r="AA20" s="339"/>
      <c r="AB20" s="339"/>
      <c r="AC20" s="339"/>
      <c r="AD20" s="339"/>
      <c r="AE20" s="340"/>
      <c r="AF20" s="340"/>
      <c r="AG20" s="339"/>
      <c r="AH20" s="339"/>
      <c r="AI20" s="339"/>
      <c r="AJ20" s="339"/>
      <c r="AK20" s="339"/>
      <c r="AL20" s="339"/>
      <c r="AM20" s="339"/>
      <c r="AN20" s="339"/>
      <c r="AO20" s="339"/>
      <c r="AP20" s="339"/>
      <c r="AQ20" s="339"/>
      <c r="AR20" s="339"/>
      <c r="AS20" s="339"/>
      <c r="AT20" s="339"/>
      <c r="AU20" s="339"/>
      <c r="AV20" s="339"/>
      <c r="AW20" s="339"/>
      <c r="AX20" s="339"/>
      <c r="AY20" s="339"/>
      <c r="AZ20" s="339"/>
      <c r="BA20" s="339"/>
      <c r="BB20" s="339"/>
      <c r="BC20" s="339"/>
      <c r="BD20" s="339"/>
      <c r="BE20" s="339"/>
      <c r="BF20" s="339"/>
      <c r="BG20" s="339"/>
      <c r="BH20" s="339"/>
      <c r="BI20" s="339"/>
      <c r="BJ20" s="339"/>
      <c r="BK20" s="339"/>
    </row>
    <row r="21" spans="1:63" ht="20.100000000000001" customHeight="1">
      <c r="A21" s="348" t="s">
        <v>1140</v>
      </c>
      <c r="B21" s="164" t="s">
        <v>517</v>
      </c>
      <c r="C21" s="335">
        <f>SUM(D21:BK21)</f>
        <v>3303000</v>
      </c>
      <c r="D21" s="311"/>
      <c r="E21" s="311"/>
      <c r="F21" s="311"/>
      <c r="G21" s="311"/>
      <c r="H21" s="311"/>
      <c r="I21" s="311"/>
      <c r="J21" s="311"/>
      <c r="K21" s="311"/>
      <c r="L21" s="311"/>
      <c r="M21" s="311"/>
      <c r="N21" s="311"/>
      <c r="O21" s="311"/>
      <c r="P21" s="311"/>
      <c r="Q21" s="311"/>
      <c r="R21" s="311">
        <f>'Anexa 7.3'!K540</f>
        <v>3260000</v>
      </c>
      <c r="S21" s="311"/>
      <c r="T21" s="311"/>
      <c r="U21" s="311"/>
      <c r="V21" s="311"/>
      <c r="W21" s="311"/>
      <c r="X21" s="311"/>
      <c r="Y21" s="311"/>
      <c r="Z21" s="311"/>
      <c r="AA21" s="311"/>
      <c r="AB21" s="311"/>
      <c r="AC21" s="311"/>
      <c r="AD21" s="311"/>
      <c r="AE21" s="312"/>
      <c r="AF21" s="312"/>
      <c r="AG21" s="311"/>
      <c r="AH21" s="311"/>
      <c r="AI21" s="311"/>
      <c r="AJ21" s="311"/>
      <c r="AK21" s="311"/>
      <c r="AL21" s="311"/>
      <c r="AM21" s="311"/>
      <c r="AN21" s="311"/>
      <c r="AO21" s="311">
        <f>'Anexa 7.3'!K1056+'Anexa 7.3'!K1057+'Anexa 7.3'!K1058+'Anexa 7.3'!K1059+'Anexa 7.3'!K1060</f>
        <v>43000</v>
      </c>
      <c r="AP21" s="311"/>
      <c r="AQ21" s="311"/>
      <c r="AR21" s="311"/>
      <c r="AS21" s="311"/>
      <c r="AT21" s="311"/>
      <c r="AU21" s="311"/>
      <c r="AV21" s="311"/>
      <c r="AW21" s="311"/>
      <c r="AX21" s="311"/>
      <c r="AY21" s="311"/>
      <c r="AZ21" s="311"/>
      <c r="BA21" s="311"/>
      <c r="BB21" s="311"/>
      <c r="BC21" s="311"/>
      <c r="BD21" s="311"/>
      <c r="BE21" s="311"/>
      <c r="BF21" s="311"/>
      <c r="BG21" s="311"/>
      <c r="BH21" s="311"/>
      <c r="BI21" s="311"/>
      <c r="BJ21" s="311"/>
      <c r="BK21" s="311"/>
    </row>
    <row r="22" spans="1:63" s="320" customFormat="1" ht="20.100000000000001" customHeight="1">
      <c r="A22" s="473"/>
      <c r="B22" s="474"/>
      <c r="C22" s="475"/>
      <c r="D22" s="476"/>
      <c r="E22" s="476"/>
      <c r="F22" s="476"/>
      <c r="G22" s="476"/>
      <c r="H22" s="476"/>
      <c r="I22" s="476"/>
      <c r="J22" s="476"/>
      <c r="K22" s="476"/>
      <c r="L22" s="476"/>
      <c r="M22" s="476"/>
      <c r="N22" s="476"/>
      <c r="O22" s="476"/>
      <c r="P22" s="476"/>
      <c r="Q22" s="476"/>
      <c r="R22" s="476"/>
      <c r="S22" s="476"/>
      <c r="T22" s="476"/>
      <c r="U22" s="476"/>
      <c r="V22" s="476"/>
      <c r="W22" s="476"/>
      <c r="X22" s="476"/>
      <c r="Y22" s="476"/>
      <c r="Z22" s="476"/>
      <c r="AA22" s="476"/>
      <c r="AB22" s="476"/>
      <c r="AC22" s="476"/>
      <c r="AD22" s="476"/>
      <c r="AE22" s="477"/>
      <c r="AF22" s="477"/>
      <c r="AG22" s="476"/>
      <c r="AH22" s="476"/>
      <c r="AI22" s="476"/>
      <c r="AJ22" s="476"/>
      <c r="AK22" s="476"/>
      <c r="AL22" s="476"/>
      <c r="AM22" s="476"/>
      <c r="AN22" s="476"/>
      <c r="AO22" s="476"/>
      <c r="AP22" s="476"/>
      <c r="AQ22" s="476"/>
      <c r="AR22" s="476"/>
      <c r="AS22" s="476"/>
      <c r="AT22" s="476"/>
      <c r="AU22" s="476"/>
      <c r="AV22" s="476"/>
      <c r="AW22" s="476"/>
      <c r="AX22" s="476"/>
      <c r="AY22" s="476"/>
      <c r="AZ22" s="476"/>
      <c r="BA22" s="476"/>
      <c r="BB22" s="476"/>
      <c r="BC22" s="476"/>
      <c r="BD22" s="476"/>
      <c r="BE22" s="476"/>
      <c r="BF22" s="311"/>
      <c r="BG22" s="311"/>
      <c r="BH22" s="311"/>
      <c r="BI22" s="311"/>
      <c r="BJ22" s="311"/>
      <c r="BK22" s="311"/>
    </row>
    <row r="23" spans="1:63" ht="20.100000000000001" customHeight="1" thickBot="1">
      <c r="A23" s="705"/>
      <c r="B23" s="706" t="s">
        <v>1392</v>
      </c>
      <c r="C23" s="707">
        <f>SUM(C7:C21)</f>
        <v>260969159.92000002</v>
      </c>
      <c r="D23" s="708">
        <f t="shared" ref="D23:L23" si="1">SUM(D7:D21)</f>
        <v>7786973</v>
      </c>
      <c r="E23" s="708">
        <f t="shared" ref="E23:G23" si="2">SUM(E7:E21)</f>
        <v>4222907</v>
      </c>
      <c r="F23" s="708">
        <f t="shared" si="2"/>
        <v>5924214</v>
      </c>
      <c r="G23" s="708">
        <f t="shared" si="2"/>
        <v>6315400</v>
      </c>
      <c r="H23" s="708">
        <f>SUM(H7:H20)</f>
        <v>7016200</v>
      </c>
      <c r="I23" s="708">
        <f t="shared" ref="I23" si="3">SUM(I7:I20)</f>
        <v>11527317</v>
      </c>
      <c r="J23" s="708">
        <f t="shared" ref="J23" si="4">SUM(J7:J21)</f>
        <v>2561860</v>
      </c>
      <c r="K23" s="708">
        <f t="shared" si="1"/>
        <v>5888600</v>
      </c>
      <c r="L23" s="708">
        <f t="shared" si="1"/>
        <v>4895900</v>
      </c>
      <c r="M23" s="708">
        <f>SUM(M7:M20)</f>
        <v>3025100</v>
      </c>
      <c r="N23" s="708">
        <f t="shared" ref="N23:P23" si="5">SUM(N7:N21)</f>
        <v>5114668</v>
      </c>
      <c r="O23" s="708">
        <f t="shared" si="5"/>
        <v>8212600</v>
      </c>
      <c r="P23" s="708">
        <f t="shared" si="5"/>
        <v>4025300</v>
      </c>
      <c r="Q23" s="708">
        <f>SUM(Q7:Q22)</f>
        <v>4072600</v>
      </c>
      <c r="R23" s="708">
        <f>SUM(R7:R21)</f>
        <v>35762900</v>
      </c>
      <c r="S23" s="708">
        <f t="shared" ref="S23:X23" si="6">SUM(S7:S21)</f>
        <v>3986900</v>
      </c>
      <c r="T23" s="708">
        <f t="shared" si="6"/>
        <v>3360800</v>
      </c>
      <c r="U23" s="708">
        <f t="shared" si="6"/>
        <v>2386400</v>
      </c>
      <c r="V23" s="708">
        <f t="shared" si="6"/>
        <v>2906000</v>
      </c>
      <c r="W23" s="708">
        <f t="shared" si="6"/>
        <v>3236000</v>
      </c>
      <c r="X23" s="708">
        <f t="shared" si="6"/>
        <v>13452000</v>
      </c>
      <c r="Y23" s="708">
        <f>SUM(Y7:Y21)</f>
        <v>2735200</v>
      </c>
      <c r="Z23" s="708">
        <f t="shared" ref="Z23" si="7">SUM(Z7:Z21)</f>
        <v>1060000</v>
      </c>
      <c r="AA23" s="708">
        <f t="shared" ref="AA23:AG23" si="8">SUM(AA7:AA20)</f>
        <v>4245800</v>
      </c>
      <c r="AB23" s="708">
        <f t="shared" ref="AB23:AC23" si="9">SUM(AB7:AB21)</f>
        <v>4071600</v>
      </c>
      <c r="AC23" s="708">
        <f t="shared" si="9"/>
        <v>2715200</v>
      </c>
      <c r="AD23" s="708">
        <f t="shared" si="8"/>
        <v>36500</v>
      </c>
      <c r="AE23" s="708">
        <f t="shared" si="8"/>
        <v>6627858</v>
      </c>
      <c r="AF23" s="708">
        <f t="shared" si="8"/>
        <v>5299400</v>
      </c>
      <c r="AG23" s="708">
        <f t="shared" si="8"/>
        <v>2442200</v>
      </c>
      <c r="AH23" s="708">
        <f t="shared" ref="AH23:AV23" si="10">SUM(AH7:AH21)</f>
        <v>11783940</v>
      </c>
      <c r="AI23" s="708">
        <f t="shared" si="10"/>
        <v>4346600</v>
      </c>
      <c r="AJ23" s="708">
        <f t="shared" si="10"/>
        <v>294100</v>
      </c>
      <c r="AK23" s="708">
        <f t="shared" si="10"/>
        <v>351300</v>
      </c>
      <c r="AL23" s="708">
        <f t="shared" si="10"/>
        <v>2947008</v>
      </c>
      <c r="AM23" s="708">
        <f t="shared" si="10"/>
        <v>385000</v>
      </c>
      <c r="AN23" s="708">
        <f t="shared" si="10"/>
        <v>1816000</v>
      </c>
      <c r="AO23" s="708">
        <f t="shared" si="10"/>
        <v>2425813</v>
      </c>
      <c r="AP23" s="708">
        <f t="shared" si="10"/>
        <v>936000</v>
      </c>
      <c r="AQ23" s="708">
        <f t="shared" si="10"/>
        <v>5379800</v>
      </c>
      <c r="AR23" s="708">
        <f t="shared" si="10"/>
        <v>3065200</v>
      </c>
      <c r="AS23" s="708">
        <f t="shared" si="10"/>
        <v>500000</v>
      </c>
      <c r="AT23" s="708">
        <f t="shared" si="10"/>
        <v>1670000</v>
      </c>
      <c r="AU23" s="708">
        <f t="shared" si="10"/>
        <v>3185000</v>
      </c>
      <c r="AV23" s="708">
        <f t="shared" si="10"/>
        <v>686000</v>
      </c>
      <c r="AW23" s="708">
        <f>SUM(AW7:AW21)</f>
        <v>5343510</v>
      </c>
      <c r="AX23" s="708">
        <f>SUM(AX7:AX21)</f>
        <v>6849400</v>
      </c>
      <c r="AY23" s="708">
        <f>SUM(AY7:AY21)</f>
        <v>165000</v>
      </c>
      <c r="AZ23" s="708">
        <f t="shared" ref="AZ23:BC23" si="11">SUM(AZ7:AZ21)</f>
        <v>1332500</v>
      </c>
      <c r="BA23" s="708">
        <f t="shared" si="11"/>
        <v>8034700</v>
      </c>
      <c r="BB23" s="708">
        <f t="shared" si="11"/>
        <v>2029999.92</v>
      </c>
      <c r="BC23" s="708">
        <f t="shared" si="11"/>
        <v>3762980</v>
      </c>
      <c r="BD23" s="708">
        <f>SUM(BD7:BD22)</f>
        <v>3780000</v>
      </c>
      <c r="BE23" s="708">
        <f>SUM(BE7:BE17)</f>
        <v>3705900</v>
      </c>
      <c r="BF23" s="1159">
        <f>SUM(BF7:BF22)</f>
        <v>941000</v>
      </c>
      <c r="BG23" s="1159">
        <f>SUM(BG7:BG22)</f>
        <v>3702488</v>
      </c>
      <c r="BH23" s="1159">
        <f>SUM(BH6:BH21)</f>
        <v>1166000</v>
      </c>
      <c r="BI23" s="1159">
        <f>SUM(BI7:BI22)</f>
        <v>1898024</v>
      </c>
      <c r="BJ23" s="1159">
        <f>SUM(BJ7:BJ22)</f>
        <v>320000</v>
      </c>
      <c r="BK23" s="1159">
        <f>SUM(BK7:BK22)</f>
        <v>3251500</v>
      </c>
    </row>
    <row r="24" spans="1:63" ht="20.100000000000001" customHeight="1">
      <c r="A24" s="637" t="s">
        <v>1184</v>
      </c>
      <c r="B24" s="637"/>
      <c r="C24" s="637"/>
      <c r="D24" s="637"/>
      <c r="E24" s="637"/>
      <c r="F24" s="637"/>
    </row>
    <row r="26" spans="1:63">
      <c r="C26" s="44"/>
      <c r="R26" s="44"/>
    </row>
    <row r="28" spans="1:63">
      <c r="C28" s="44"/>
    </row>
  </sheetData>
  <printOptions horizontalCentered="1" verticalCentered="1"/>
  <pageMargins left="0.70866141732283505" right="0.70866141732283505" top="0.74803149606299202" bottom="0.74803149606299202" header="0.31496062992126" footer="0.31496062992126"/>
  <pageSetup paperSize="9" scale="82" orientation="landscape" r:id="rId1"/>
  <headerFooter>
    <oddHeader>&amp;LAnexa 7.2&amp;RMASTER PLAN 
Decembrie 2013</oddHeader>
    <oddFooter>&amp;RAnexa 7.2/ Pagina &amp;P/&amp;N</oddFooter>
  </headerFooter>
  <ignoredErrors>
    <ignoredError sqref="C21:C23 C13 C18:C20 C7:C12 C14:C16 C17" unlockedFormula="1"/>
    <ignoredError sqref="A6:A8 A10:A21" numberStoredAsText="1"/>
    <ignoredError sqref="M23 Q23 AA23 BE23 BH23" formula="1"/>
  </ignoredErrors>
</worksheet>
</file>

<file path=xl/worksheets/sheet10.xml><?xml version="1.0" encoding="utf-8"?>
<worksheet xmlns="http://schemas.openxmlformats.org/spreadsheetml/2006/main" xmlns:r="http://schemas.openxmlformats.org/officeDocument/2006/relationships">
  <dimension ref="A1:U1586"/>
  <sheetViews>
    <sheetView view="pageBreakPreview" zoomScale="85" zoomScaleSheetLayoutView="85" workbookViewId="0">
      <pane ySplit="1" topLeftCell="A534" activePane="bottomLeft" state="frozen"/>
      <selection pane="bottomLeft" activeCell="G531" sqref="G531"/>
    </sheetView>
  </sheetViews>
  <sheetFormatPr defaultRowHeight="15"/>
  <cols>
    <col min="1" max="1" width="13.85546875" style="382" customWidth="1"/>
    <col min="2" max="2" width="14.7109375" style="382" customWidth="1"/>
    <col min="3" max="3" width="13.28515625" style="382" customWidth="1"/>
    <col min="4" max="4" width="11" style="382" customWidth="1"/>
    <col min="5" max="5" width="10.28515625" style="382" customWidth="1"/>
    <col min="6" max="6" width="13.28515625" style="316" customWidth="1"/>
    <col min="7" max="7" width="40.7109375" style="317" customWidth="1"/>
    <col min="8" max="8" width="9.5703125" style="310" customWidth="1"/>
    <col min="9" max="9" width="12.5703125" style="310" customWidth="1"/>
    <col min="10" max="10" width="10.5703125" style="310" customWidth="1"/>
    <col min="11" max="11" width="11.5703125" style="310" customWidth="1"/>
    <col min="12" max="12" width="11.28515625" style="331" customWidth="1"/>
    <col min="13" max="13" width="12.28515625" style="331" customWidth="1"/>
    <col min="14" max="14" width="11.85546875" style="310" customWidth="1"/>
    <col min="15" max="15" width="13.42578125" style="316" customWidth="1"/>
    <col min="16" max="16" width="12.140625" style="316" customWidth="1"/>
    <col min="17" max="17" width="66.7109375" style="316" customWidth="1"/>
    <col min="18" max="18" width="0.140625" style="316" customWidth="1"/>
    <col min="19" max="19" width="10.85546875" style="316" hidden="1" customWidth="1"/>
    <col min="20" max="21" width="9.140625" style="316" hidden="1" customWidth="1"/>
    <col min="22" max="16384" width="9.140625" style="316"/>
  </cols>
  <sheetData>
    <row r="1" spans="1:17">
      <c r="B1" s="313"/>
      <c r="C1" s="313"/>
      <c r="D1" s="313"/>
      <c r="E1" s="313"/>
      <c r="F1" s="314"/>
      <c r="G1" s="315"/>
    </row>
    <row r="2" spans="1:17" s="325" customFormat="1" ht="15" customHeight="1">
      <c r="A2" s="1716" t="s">
        <v>1306</v>
      </c>
      <c r="B2" s="1717"/>
      <c r="C2" s="1717"/>
      <c r="D2" s="1717"/>
      <c r="E2" s="1717"/>
      <c r="F2" s="1717"/>
      <c r="G2" s="1717"/>
      <c r="H2" s="1718"/>
      <c r="I2" s="791"/>
      <c r="J2" s="369"/>
      <c r="K2" s="336"/>
      <c r="L2" s="332"/>
      <c r="M2" s="332"/>
      <c r="N2" s="336"/>
      <c r="O2" s="405"/>
      <c r="P2" s="405"/>
      <c r="Q2" s="405"/>
    </row>
    <row r="3" spans="1:17" s="382" customFormat="1" ht="15.75" thickBot="1">
      <c r="A3" s="824"/>
      <c r="B3" s="825"/>
      <c r="C3" s="826"/>
      <c r="D3" s="826"/>
      <c r="E3" s="826"/>
      <c r="F3" s="827"/>
      <c r="G3" s="828"/>
      <c r="H3" s="787"/>
      <c r="I3" s="787"/>
      <c r="J3" s="787"/>
      <c r="K3" s="358"/>
      <c r="L3" s="359"/>
      <c r="M3" s="359"/>
      <c r="N3" s="358"/>
      <c r="O3" s="406"/>
      <c r="P3" s="406"/>
      <c r="Q3" s="406"/>
    </row>
    <row r="4" spans="1:17">
      <c r="A4" s="829"/>
      <c r="B4" s="830"/>
      <c r="C4" s="639"/>
      <c r="D4" s="639"/>
      <c r="E4" s="639"/>
      <c r="F4" s="831"/>
      <c r="G4" s="1133" t="s">
        <v>1878</v>
      </c>
      <c r="H4" s="1742"/>
      <c r="I4" s="1742"/>
      <c r="J4" s="1742"/>
      <c r="K4" s="639"/>
      <c r="L4" s="640"/>
      <c r="M4" s="640"/>
      <c r="N4" s="639"/>
      <c r="O4" s="641"/>
      <c r="P4" s="641"/>
      <c r="Q4" s="642"/>
    </row>
    <row r="5" spans="1:17" s="382" customFormat="1" ht="15.75" thickBot="1">
      <c r="A5" s="832"/>
      <c r="B5" s="821"/>
      <c r="C5" s="817"/>
      <c r="D5" s="817"/>
      <c r="E5" s="817"/>
      <c r="F5" s="790"/>
      <c r="G5" s="788"/>
      <c r="H5" s="787"/>
      <c r="I5" s="787"/>
      <c r="J5" s="787"/>
      <c r="K5" s="358"/>
      <c r="L5" s="359"/>
      <c r="M5" s="359"/>
      <c r="N5" s="358"/>
      <c r="O5" s="406"/>
      <c r="P5" s="406"/>
      <c r="Q5" s="643"/>
    </row>
    <row r="6" spans="1:17" s="382" customFormat="1" ht="60">
      <c r="A6" s="1538" t="s">
        <v>1452</v>
      </c>
      <c r="B6" s="1538" t="s">
        <v>676</v>
      </c>
      <c r="C6" s="1538" t="s">
        <v>610</v>
      </c>
      <c r="D6" s="1538" t="s">
        <v>611</v>
      </c>
      <c r="E6" s="1538" t="s">
        <v>1453</v>
      </c>
      <c r="F6" s="1472" t="s">
        <v>159</v>
      </c>
      <c r="G6" s="1509" t="s">
        <v>110</v>
      </c>
      <c r="H6" s="1477" t="s">
        <v>316</v>
      </c>
      <c r="I6" s="1472" t="s">
        <v>315</v>
      </c>
      <c r="J6" s="1472" t="s">
        <v>317</v>
      </c>
      <c r="K6" s="1472" t="s">
        <v>318</v>
      </c>
      <c r="L6" s="569" t="s">
        <v>1443</v>
      </c>
      <c r="M6" s="569" t="s">
        <v>1444</v>
      </c>
      <c r="N6" s="709" t="s">
        <v>1445</v>
      </c>
      <c r="O6" s="1477" t="s">
        <v>1671</v>
      </c>
      <c r="P6" s="1477" t="s">
        <v>1307</v>
      </c>
      <c r="Q6" s="1495" t="s">
        <v>1454</v>
      </c>
    </row>
    <row r="7" spans="1:17" s="382" customFormat="1" ht="15.75" thickBot="1">
      <c r="A7" s="1539"/>
      <c r="B7" s="1539"/>
      <c r="C7" s="1539"/>
      <c r="D7" s="1539"/>
      <c r="E7" s="1539"/>
      <c r="F7" s="1473"/>
      <c r="G7" s="1510"/>
      <c r="H7" s="1478"/>
      <c r="I7" s="1473"/>
      <c r="J7" s="1473"/>
      <c r="K7" s="1473"/>
      <c r="L7" s="570" t="s">
        <v>805</v>
      </c>
      <c r="M7" s="570" t="s">
        <v>805</v>
      </c>
      <c r="N7" s="710" t="s">
        <v>1149</v>
      </c>
      <c r="O7" s="1478"/>
      <c r="P7" s="1478"/>
      <c r="Q7" s="1496"/>
    </row>
    <row r="8" spans="1:17" s="382" customFormat="1" ht="90.75" customHeight="1">
      <c r="A8" s="1722" t="s">
        <v>794</v>
      </c>
      <c r="B8" s="1722" t="s">
        <v>612</v>
      </c>
      <c r="C8" s="1599" t="s">
        <v>795</v>
      </c>
      <c r="D8" s="1607">
        <v>1972</v>
      </c>
      <c r="E8" s="1628" t="s">
        <v>1451</v>
      </c>
      <c r="F8" s="731" t="s">
        <v>320</v>
      </c>
      <c r="G8" s="412" t="s">
        <v>1862</v>
      </c>
      <c r="H8" s="414" t="s">
        <v>160</v>
      </c>
      <c r="I8" s="713">
        <v>7840</v>
      </c>
      <c r="J8" s="713">
        <f>'preturi unitare'!H26</f>
        <v>117</v>
      </c>
      <c r="K8" s="713">
        <f t="shared" ref="K8:K16" si="0">I8*J8</f>
        <v>917280</v>
      </c>
      <c r="L8" s="411">
        <f t="shared" ref="L8:L16" si="1">K8</f>
        <v>917280</v>
      </c>
      <c r="M8" s="411">
        <v>0</v>
      </c>
      <c r="N8" s="433">
        <v>0</v>
      </c>
      <c r="O8" s="1465">
        <f>L18</f>
        <v>4507973</v>
      </c>
      <c r="P8" s="1465">
        <f>O8/D8</f>
        <v>2285.9903651115619</v>
      </c>
      <c r="Q8" s="1572" t="s">
        <v>1553</v>
      </c>
    </row>
    <row r="9" spans="1:17" s="382" customFormat="1" ht="30">
      <c r="A9" s="1518"/>
      <c r="B9" s="1518"/>
      <c r="C9" s="1488"/>
      <c r="D9" s="1602"/>
      <c r="E9" s="1628"/>
      <c r="F9" s="721" t="s">
        <v>321</v>
      </c>
      <c r="G9" s="329" t="s">
        <v>1192</v>
      </c>
      <c r="H9" s="368" t="s">
        <v>280</v>
      </c>
      <c r="I9" s="714">
        <v>1</v>
      </c>
      <c r="J9" s="714">
        <v>407713</v>
      </c>
      <c r="K9" s="714">
        <f t="shared" si="0"/>
        <v>407713</v>
      </c>
      <c r="L9" s="334">
        <f t="shared" si="1"/>
        <v>407713</v>
      </c>
      <c r="M9" s="334">
        <v>0</v>
      </c>
      <c r="N9" s="376">
        <v>0</v>
      </c>
      <c r="O9" s="1482"/>
      <c r="P9" s="1482"/>
      <c r="Q9" s="1636"/>
    </row>
    <row r="10" spans="1:17" s="382" customFormat="1" ht="30">
      <c r="A10" s="1518"/>
      <c r="B10" s="1518"/>
      <c r="C10" s="1488"/>
      <c r="D10" s="1602"/>
      <c r="E10" s="1628"/>
      <c r="F10" s="1600" t="s">
        <v>322</v>
      </c>
      <c r="G10" s="362" t="s">
        <v>1863</v>
      </c>
      <c r="H10" s="368" t="s">
        <v>160</v>
      </c>
      <c r="I10" s="389">
        <v>11700</v>
      </c>
      <c r="J10" s="714">
        <v>55</v>
      </c>
      <c r="K10" s="714">
        <f t="shared" si="0"/>
        <v>643500</v>
      </c>
      <c r="L10" s="334">
        <f>K10</f>
        <v>643500</v>
      </c>
      <c r="M10" s="334">
        <v>0</v>
      </c>
      <c r="N10" s="376">
        <v>0</v>
      </c>
      <c r="O10" s="1482"/>
      <c r="P10" s="1482"/>
      <c r="Q10" s="1636"/>
    </row>
    <row r="11" spans="1:17" s="382" customFormat="1" ht="30">
      <c r="A11" s="1518"/>
      <c r="B11" s="1518"/>
      <c r="C11" s="1488"/>
      <c r="D11" s="1602"/>
      <c r="E11" s="1628"/>
      <c r="F11" s="1600"/>
      <c r="G11" s="362" t="s">
        <v>1864</v>
      </c>
      <c r="H11" s="368" t="s">
        <v>160</v>
      </c>
      <c r="I11" s="389">
        <v>8000</v>
      </c>
      <c r="J11" s="714">
        <f>'preturi unitare'!H32</f>
        <v>58</v>
      </c>
      <c r="K11" s="714">
        <f t="shared" si="0"/>
        <v>464000</v>
      </c>
      <c r="L11" s="334">
        <f t="shared" si="1"/>
        <v>464000</v>
      </c>
      <c r="M11" s="334">
        <v>0</v>
      </c>
      <c r="N11" s="376">
        <v>0</v>
      </c>
      <c r="O11" s="1482"/>
      <c r="P11" s="1482"/>
      <c r="Q11" s="1636"/>
    </row>
    <row r="12" spans="1:17" s="382" customFormat="1" ht="30">
      <c r="A12" s="1518"/>
      <c r="B12" s="1518"/>
      <c r="C12" s="1488"/>
      <c r="D12" s="1602"/>
      <c r="E12" s="1628"/>
      <c r="F12" s="1600"/>
      <c r="G12" s="362" t="s">
        <v>1865</v>
      </c>
      <c r="H12" s="368" t="s">
        <v>160</v>
      </c>
      <c r="I12" s="389">
        <v>5900</v>
      </c>
      <c r="J12" s="714">
        <f>'preturi unitare'!H33</f>
        <v>60</v>
      </c>
      <c r="K12" s="714">
        <f t="shared" si="0"/>
        <v>354000</v>
      </c>
      <c r="L12" s="334">
        <f>K12</f>
        <v>354000</v>
      </c>
      <c r="M12" s="334">
        <v>0</v>
      </c>
      <c r="N12" s="376">
        <v>0</v>
      </c>
      <c r="O12" s="1482"/>
      <c r="P12" s="1482"/>
      <c r="Q12" s="1636"/>
    </row>
    <row r="13" spans="1:17" s="382" customFormat="1" ht="30">
      <c r="A13" s="1518"/>
      <c r="B13" s="1518"/>
      <c r="C13" s="1488"/>
      <c r="D13" s="1602"/>
      <c r="E13" s="1628"/>
      <c r="F13" s="1600"/>
      <c r="G13" s="362" t="s">
        <v>1866</v>
      </c>
      <c r="H13" s="368" t="s">
        <v>160</v>
      </c>
      <c r="I13" s="389">
        <v>635</v>
      </c>
      <c r="J13" s="714">
        <f>'preturi unitare'!H22</f>
        <v>64</v>
      </c>
      <c r="K13" s="714">
        <f t="shared" si="0"/>
        <v>40640</v>
      </c>
      <c r="L13" s="334">
        <f t="shared" si="1"/>
        <v>40640</v>
      </c>
      <c r="M13" s="334">
        <v>0</v>
      </c>
      <c r="N13" s="376">
        <v>0</v>
      </c>
      <c r="O13" s="1482"/>
      <c r="P13" s="1482"/>
      <c r="Q13" s="1636"/>
    </row>
    <row r="14" spans="1:17" s="382" customFormat="1" ht="30">
      <c r="A14" s="1518"/>
      <c r="B14" s="1518"/>
      <c r="C14" s="1488"/>
      <c r="D14" s="1602"/>
      <c r="E14" s="1628"/>
      <c r="F14" s="1600"/>
      <c r="G14" s="362" t="s">
        <v>1867</v>
      </c>
      <c r="H14" s="368" t="s">
        <v>160</v>
      </c>
      <c r="I14" s="389">
        <v>12330</v>
      </c>
      <c r="J14" s="714">
        <f>'preturi unitare'!H23</f>
        <v>68</v>
      </c>
      <c r="K14" s="714">
        <f t="shared" si="0"/>
        <v>838440</v>
      </c>
      <c r="L14" s="334">
        <f>K14</f>
        <v>838440</v>
      </c>
      <c r="M14" s="334">
        <v>0</v>
      </c>
      <c r="N14" s="376">
        <v>0</v>
      </c>
      <c r="O14" s="1482"/>
      <c r="P14" s="1482"/>
      <c r="Q14" s="1636"/>
    </row>
    <row r="15" spans="1:17" s="382" customFormat="1" ht="30">
      <c r="A15" s="1518"/>
      <c r="B15" s="1518"/>
      <c r="C15" s="1488"/>
      <c r="D15" s="1602"/>
      <c r="E15" s="1628"/>
      <c r="F15" s="1600"/>
      <c r="G15" s="362" t="s">
        <v>1868</v>
      </c>
      <c r="H15" s="368" t="s">
        <v>160</v>
      </c>
      <c r="I15" s="389">
        <v>5600</v>
      </c>
      <c r="J15" s="714">
        <f>'preturi unitare'!H24</f>
        <v>79</v>
      </c>
      <c r="K15" s="714">
        <f t="shared" si="0"/>
        <v>442400</v>
      </c>
      <c r="L15" s="334">
        <f t="shared" si="1"/>
        <v>442400</v>
      </c>
      <c r="M15" s="334">
        <v>0</v>
      </c>
      <c r="N15" s="376">
        <v>0</v>
      </c>
      <c r="O15" s="1482"/>
      <c r="P15" s="1482"/>
      <c r="Q15" s="1636"/>
    </row>
    <row r="16" spans="1:17" s="382" customFormat="1" ht="49.5" customHeight="1">
      <c r="A16" s="1519"/>
      <c r="B16" s="1519"/>
      <c r="C16" s="1488"/>
      <c r="D16" s="1602"/>
      <c r="E16" s="1607"/>
      <c r="F16" s="721" t="s">
        <v>279</v>
      </c>
      <c r="G16" s="329" t="s">
        <v>1193</v>
      </c>
      <c r="H16" s="653" t="s">
        <v>280</v>
      </c>
      <c r="I16" s="714">
        <v>1</v>
      </c>
      <c r="J16" s="714">
        <v>400000</v>
      </c>
      <c r="K16" s="714">
        <f t="shared" si="0"/>
        <v>400000</v>
      </c>
      <c r="L16" s="334">
        <f t="shared" si="1"/>
        <v>400000</v>
      </c>
      <c r="M16" s="334">
        <v>0</v>
      </c>
      <c r="N16" s="376">
        <v>0</v>
      </c>
      <c r="O16" s="1482"/>
      <c r="P16" s="1482"/>
      <c r="Q16" s="1637"/>
    </row>
    <row r="17" spans="1:20" s="382" customFormat="1">
      <c r="A17" s="820"/>
      <c r="B17" s="326"/>
      <c r="C17" s="326"/>
      <c r="D17" s="326"/>
      <c r="E17" s="326"/>
      <c r="F17" s="326"/>
      <c r="G17" s="326"/>
      <c r="H17" s="326"/>
      <c r="I17" s="714"/>
      <c r="J17" s="714"/>
      <c r="K17" s="714"/>
      <c r="L17" s="334"/>
      <c r="M17" s="334"/>
      <c r="N17" s="326"/>
      <c r="O17" s="729"/>
      <c r="P17" s="729"/>
      <c r="Q17" s="644"/>
    </row>
    <row r="18" spans="1:20" s="382" customFormat="1">
      <c r="A18" s="1719" t="s">
        <v>692</v>
      </c>
      <c r="B18" s="1720"/>
      <c r="C18" s="1720"/>
      <c r="D18" s="1720"/>
      <c r="E18" s="1720"/>
      <c r="F18" s="1720"/>
      <c r="G18" s="1721"/>
      <c r="H18" s="793"/>
      <c r="I18" s="714"/>
      <c r="J18" s="714"/>
      <c r="K18" s="364">
        <f>SUM(K8:K16)</f>
        <v>4507973</v>
      </c>
      <c r="L18" s="365">
        <f>SUM(L8:L16)</f>
        <v>4507973</v>
      </c>
      <c r="M18" s="365">
        <f>SUM(M8:M16)</f>
        <v>0</v>
      </c>
      <c r="N18" s="364">
        <f>SUM(N8:N17)</f>
        <v>0</v>
      </c>
      <c r="O18" s="714"/>
      <c r="P18" s="714"/>
      <c r="Q18" s="644"/>
      <c r="S18" s="629"/>
    </row>
    <row r="19" spans="1:20" s="382" customFormat="1" ht="15.75" thickBot="1">
      <c r="A19" s="833"/>
      <c r="B19" s="822"/>
      <c r="C19" s="822"/>
      <c r="D19" s="822"/>
      <c r="E19" s="822"/>
      <c r="F19" s="822"/>
      <c r="G19" s="822"/>
      <c r="H19" s="823"/>
      <c r="I19" s="732"/>
      <c r="J19" s="732"/>
      <c r="K19" s="575"/>
      <c r="L19" s="426"/>
      <c r="M19" s="426"/>
      <c r="N19" s="575"/>
      <c r="O19" s="732"/>
      <c r="P19" s="732"/>
      <c r="Q19" s="834"/>
      <c r="S19" s="629"/>
      <c r="T19" s="629"/>
    </row>
    <row r="20" spans="1:20" s="382" customFormat="1" ht="60" customHeight="1">
      <c r="A20" s="1608" t="s">
        <v>632</v>
      </c>
      <c r="B20" s="1538" t="s">
        <v>617</v>
      </c>
      <c r="C20" s="1538" t="s">
        <v>610</v>
      </c>
      <c r="D20" s="1538" t="s">
        <v>611</v>
      </c>
      <c r="E20" s="1538" t="s">
        <v>1453</v>
      </c>
      <c r="F20" s="1472" t="s">
        <v>159</v>
      </c>
      <c r="G20" s="1509" t="s">
        <v>110</v>
      </c>
      <c r="H20" s="1477" t="s">
        <v>316</v>
      </c>
      <c r="I20" s="1472" t="s">
        <v>315</v>
      </c>
      <c r="J20" s="1472" t="s">
        <v>317</v>
      </c>
      <c r="K20" s="1472" t="s">
        <v>318</v>
      </c>
      <c r="L20" s="569" t="s">
        <v>1443</v>
      </c>
      <c r="M20" s="569" t="s">
        <v>1444</v>
      </c>
      <c r="N20" s="709" t="s">
        <v>1445</v>
      </c>
      <c r="O20" s="1477" t="s">
        <v>1673</v>
      </c>
      <c r="P20" s="1477" t="s">
        <v>1307</v>
      </c>
      <c r="Q20" s="1495" t="s">
        <v>1454</v>
      </c>
    </row>
    <row r="21" spans="1:20" s="382" customFormat="1" ht="15.75" thickBot="1">
      <c r="A21" s="1609"/>
      <c r="B21" s="1539"/>
      <c r="C21" s="1539"/>
      <c r="D21" s="1539"/>
      <c r="E21" s="1539"/>
      <c r="F21" s="1473"/>
      <c r="G21" s="1510"/>
      <c r="H21" s="1478"/>
      <c r="I21" s="1473"/>
      <c r="J21" s="1473"/>
      <c r="K21" s="1473"/>
      <c r="L21" s="570" t="s">
        <v>805</v>
      </c>
      <c r="M21" s="570" t="s">
        <v>805</v>
      </c>
      <c r="N21" s="710" t="s">
        <v>1149</v>
      </c>
      <c r="O21" s="1478"/>
      <c r="P21" s="1478"/>
      <c r="Q21" s="1496"/>
    </row>
    <row r="22" spans="1:20" s="382" customFormat="1" ht="30">
      <c r="A22" s="1652" t="s">
        <v>794</v>
      </c>
      <c r="B22" s="1715" t="s">
        <v>1451</v>
      </c>
      <c r="C22" s="1487" t="s">
        <v>794</v>
      </c>
      <c r="D22" s="1607" t="s">
        <v>796</v>
      </c>
      <c r="E22" s="1628" t="str">
        <f>D22</f>
        <v>640</v>
      </c>
      <c r="F22" s="1129" t="s">
        <v>323</v>
      </c>
      <c r="G22" s="423" t="s">
        <v>927</v>
      </c>
      <c r="H22" s="1122" t="s">
        <v>280</v>
      </c>
      <c r="I22" s="1123">
        <v>1</v>
      </c>
      <c r="J22" s="1123">
        <f>'preturi unitare'!O27</f>
        <v>106500</v>
      </c>
      <c r="K22" s="713">
        <f>I22*J22</f>
        <v>106500</v>
      </c>
      <c r="L22" s="411">
        <v>0</v>
      </c>
      <c r="M22" s="411">
        <f t="shared" ref="M22:M27" si="2">K22</f>
        <v>106500</v>
      </c>
      <c r="N22" s="429">
        <v>0</v>
      </c>
      <c r="O22" s="1656">
        <f>SUM(M22:M23)</f>
        <v>1800500</v>
      </c>
      <c r="P22" s="1656">
        <f>O22/E22</f>
        <v>2813.28125</v>
      </c>
      <c r="Q22" s="1582" t="s">
        <v>1554</v>
      </c>
    </row>
    <row r="23" spans="1:20" s="382" customFormat="1" ht="30">
      <c r="A23" s="1653"/>
      <c r="B23" s="1487"/>
      <c r="C23" s="1488"/>
      <c r="D23" s="1602"/>
      <c r="E23" s="1607"/>
      <c r="F23" s="1128" t="s">
        <v>325</v>
      </c>
      <c r="G23" s="362" t="s">
        <v>928</v>
      </c>
      <c r="H23" s="807" t="s">
        <v>160</v>
      </c>
      <c r="I23" s="1119">
        <v>11000</v>
      </c>
      <c r="J23" s="1119">
        <f>'preturi unitare'!H40</f>
        <v>154</v>
      </c>
      <c r="K23" s="714">
        <f>J23*I23</f>
        <v>1694000</v>
      </c>
      <c r="L23" s="334">
        <v>0</v>
      </c>
      <c r="M23" s="334">
        <f t="shared" si="2"/>
        <v>1694000</v>
      </c>
      <c r="N23" s="388">
        <v>0</v>
      </c>
      <c r="O23" s="1619"/>
      <c r="P23" s="1619"/>
      <c r="Q23" s="1641"/>
    </row>
    <row r="24" spans="1:20" s="382" customFormat="1" ht="45">
      <c r="A24" s="1653"/>
      <c r="B24" s="722" t="s">
        <v>1451</v>
      </c>
      <c r="C24" s="997" t="s">
        <v>797</v>
      </c>
      <c r="D24" s="733">
        <v>354</v>
      </c>
      <c r="E24" s="733">
        <f>D24</f>
        <v>354</v>
      </c>
      <c r="F24" s="1128" t="s">
        <v>323</v>
      </c>
      <c r="G24" s="329" t="s">
        <v>1325</v>
      </c>
      <c r="H24" s="807" t="s">
        <v>1322</v>
      </c>
      <c r="I24" s="369">
        <v>1</v>
      </c>
      <c r="J24" s="1119">
        <f>'preturi unitare'!N4</f>
        <v>70000</v>
      </c>
      <c r="K24" s="714">
        <f>J24*I24</f>
        <v>70000</v>
      </c>
      <c r="L24" s="334">
        <v>0</v>
      </c>
      <c r="M24" s="334">
        <f t="shared" si="2"/>
        <v>70000</v>
      </c>
      <c r="N24" s="388">
        <v>0</v>
      </c>
      <c r="O24" s="795">
        <f>K24</f>
        <v>70000</v>
      </c>
      <c r="P24" s="795">
        <f>O24/E24</f>
        <v>197.74011299435028</v>
      </c>
      <c r="Q24" s="982" t="s">
        <v>1555</v>
      </c>
    </row>
    <row r="25" spans="1:20" s="382" customFormat="1" ht="30">
      <c r="A25" s="1653"/>
      <c r="B25" s="1684" t="s">
        <v>1451</v>
      </c>
      <c r="C25" s="1488" t="s">
        <v>798</v>
      </c>
      <c r="D25" s="1602">
        <v>653</v>
      </c>
      <c r="E25" s="1606">
        <f>D25</f>
        <v>653</v>
      </c>
      <c r="F25" s="1128" t="s">
        <v>323</v>
      </c>
      <c r="G25" s="362" t="s">
        <v>929</v>
      </c>
      <c r="H25" s="807" t="s">
        <v>280</v>
      </c>
      <c r="I25" s="1119">
        <v>1</v>
      </c>
      <c r="J25" s="1119">
        <f>J22</f>
        <v>106500</v>
      </c>
      <c r="K25" s="714">
        <f>I25*J25</f>
        <v>106500</v>
      </c>
      <c r="L25" s="334">
        <v>0</v>
      </c>
      <c r="M25" s="334">
        <f t="shared" si="2"/>
        <v>106500</v>
      </c>
      <c r="N25" s="714">
        <v>0</v>
      </c>
      <c r="O25" s="1619">
        <f>SUM(M25:M26)</f>
        <v>1338500</v>
      </c>
      <c r="P25" s="1619">
        <f>O25/E25</f>
        <v>2049.7702909647778</v>
      </c>
      <c r="Q25" s="1641" t="s">
        <v>1556</v>
      </c>
    </row>
    <row r="26" spans="1:20" s="382" customFormat="1" ht="30">
      <c r="A26" s="1653"/>
      <c r="B26" s="1487"/>
      <c r="C26" s="1488"/>
      <c r="D26" s="1602"/>
      <c r="E26" s="1607"/>
      <c r="F26" s="1128" t="s">
        <v>325</v>
      </c>
      <c r="G26" s="362" t="s">
        <v>930</v>
      </c>
      <c r="H26" s="807" t="s">
        <v>160</v>
      </c>
      <c r="I26" s="1119">
        <v>8000</v>
      </c>
      <c r="J26" s="1119">
        <f>'preturi unitare'!H40</f>
        <v>154</v>
      </c>
      <c r="K26" s="714">
        <f>I26*J26</f>
        <v>1232000</v>
      </c>
      <c r="L26" s="334">
        <v>0</v>
      </c>
      <c r="M26" s="334">
        <f t="shared" si="2"/>
        <v>1232000</v>
      </c>
      <c r="N26" s="714">
        <v>0</v>
      </c>
      <c r="O26" s="1619"/>
      <c r="P26" s="1619"/>
      <c r="Q26" s="1583"/>
    </row>
    <row r="27" spans="1:20" s="382" customFormat="1" ht="45">
      <c r="A27" s="1654"/>
      <c r="B27" s="722" t="s">
        <v>1451</v>
      </c>
      <c r="C27" s="722" t="s">
        <v>799</v>
      </c>
      <c r="D27" s="733">
        <v>325</v>
      </c>
      <c r="E27" s="733">
        <f>D27</f>
        <v>325</v>
      </c>
      <c r="F27" s="1128" t="s">
        <v>323</v>
      </c>
      <c r="G27" s="329" t="s">
        <v>1326</v>
      </c>
      <c r="H27" s="807" t="s">
        <v>1322</v>
      </c>
      <c r="I27" s="1119">
        <v>1</v>
      </c>
      <c r="J27" s="1119">
        <f>'preturi unitare'!N4</f>
        <v>70000</v>
      </c>
      <c r="K27" s="714">
        <f>I27*J27</f>
        <v>70000</v>
      </c>
      <c r="L27" s="334">
        <v>0</v>
      </c>
      <c r="M27" s="334">
        <f t="shared" si="2"/>
        <v>70000</v>
      </c>
      <c r="N27" s="714">
        <v>0</v>
      </c>
      <c r="O27" s="795">
        <f>K27</f>
        <v>70000</v>
      </c>
      <c r="P27" s="795">
        <f>O27/E27</f>
        <v>215.38461538461539</v>
      </c>
      <c r="Q27" s="982" t="s">
        <v>1557</v>
      </c>
    </row>
    <row r="28" spans="1:20" s="382" customFormat="1">
      <c r="A28" s="820"/>
      <c r="B28" s="722"/>
      <c r="C28" s="722"/>
      <c r="D28" s="733"/>
      <c r="E28" s="733"/>
      <c r="F28" s="721"/>
      <c r="G28" s="384"/>
      <c r="H28" s="714"/>
      <c r="I28" s="714"/>
      <c r="J28" s="714"/>
      <c r="K28" s="714"/>
      <c r="L28" s="334"/>
      <c r="M28" s="334"/>
      <c r="N28" s="326"/>
      <c r="O28" s="729"/>
      <c r="P28" s="729"/>
      <c r="Q28" s="587"/>
    </row>
    <row r="29" spans="1:20" s="382" customFormat="1">
      <c r="A29" s="1532" t="s">
        <v>378</v>
      </c>
      <c r="B29" s="1533"/>
      <c r="C29" s="1533"/>
      <c r="D29" s="1533"/>
      <c r="E29" s="1533"/>
      <c r="F29" s="1533"/>
      <c r="G29" s="1534"/>
      <c r="H29" s="364"/>
      <c r="I29" s="364"/>
      <c r="J29" s="364"/>
      <c r="K29" s="364">
        <f>SUM(K22:K27)</f>
        <v>3279000</v>
      </c>
      <c r="L29" s="365">
        <f>SUM(L22:L27)</f>
        <v>0</v>
      </c>
      <c r="M29" s="365">
        <f>SUM(M22:M27)</f>
        <v>3279000</v>
      </c>
      <c r="N29" s="364">
        <f>SUM(N22:N27)</f>
        <v>0</v>
      </c>
      <c r="O29" s="714"/>
      <c r="P29" s="714"/>
      <c r="Q29" s="587"/>
    </row>
    <row r="30" spans="1:20" s="382" customFormat="1">
      <c r="A30" s="820"/>
      <c r="B30" s="742"/>
      <c r="C30" s="742"/>
      <c r="D30" s="742"/>
      <c r="E30" s="742"/>
      <c r="F30" s="721"/>
      <c r="G30" s="328"/>
      <c r="H30" s="714"/>
      <c r="I30" s="714"/>
      <c r="J30" s="714"/>
      <c r="K30" s="714"/>
      <c r="L30" s="334"/>
      <c r="M30" s="334"/>
      <c r="N30" s="714"/>
      <c r="O30" s="714"/>
      <c r="P30" s="714"/>
      <c r="Q30" s="587"/>
    </row>
    <row r="31" spans="1:20" s="382" customFormat="1" ht="15" customHeight="1" thickBot="1">
      <c r="A31" s="1474" t="s">
        <v>379</v>
      </c>
      <c r="B31" s="1475"/>
      <c r="C31" s="1475"/>
      <c r="D31" s="1475"/>
      <c r="E31" s="1475"/>
      <c r="F31" s="1475"/>
      <c r="G31" s="1476"/>
      <c r="H31" s="581"/>
      <c r="I31" s="581"/>
      <c r="J31" s="581"/>
      <c r="K31" s="582">
        <f>K29+K18</f>
        <v>7786973</v>
      </c>
      <c r="L31" s="583">
        <f>L29+L18</f>
        <v>4507973</v>
      </c>
      <c r="M31" s="583">
        <f>M29+M18</f>
        <v>3279000</v>
      </c>
      <c r="N31" s="582">
        <f>N29+N18</f>
        <v>0</v>
      </c>
      <c r="O31" s="581"/>
      <c r="P31" s="581"/>
      <c r="Q31" s="816"/>
    </row>
    <row r="32" spans="1:20" s="382" customFormat="1" ht="15.75" thickBot="1">
      <c r="B32" s="606"/>
      <c r="C32" s="606"/>
      <c r="D32" s="606"/>
      <c r="E32" s="606"/>
      <c r="F32" s="607"/>
      <c r="G32" s="576"/>
      <c r="H32" s="608"/>
      <c r="I32" s="608"/>
      <c r="J32" s="608"/>
      <c r="K32" s="608"/>
      <c r="L32" s="609"/>
      <c r="M32" s="609"/>
      <c r="N32" s="725"/>
      <c r="O32" s="586"/>
      <c r="P32" s="586"/>
      <c r="Q32" s="586"/>
    </row>
    <row r="33" spans="1:19" s="382" customFormat="1">
      <c r="A33" s="839"/>
      <c r="B33" s="639"/>
      <c r="C33" s="639"/>
      <c r="D33" s="639"/>
      <c r="E33" s="639"/>
      <c r="F33" s="831"/>
      <c r="G33" s="1133" t="s">
        <v>1879</v>
      </c>
      <c r="H33" s="840"/>
      <c r="I33" s="840"/>
      <c r="J33" s="641"/>
      <c r="K33" s="639"/>
      <c r="L33" s="640"/>
      <c r="M33" s="640"/>
      <c r="N33" s="639"/>
      <c r="O33" s="841"/>
      <c r="P33" s="841"/>
      <c r="Q33" s="642"/>
    </row>
    <row r="34" spans="1:19" s="382" customFormat="1" ht="15.75" thickBot="1">
      <c r="A34" s="645"/>
      <c r="B34" s="355"/>
      <c r="C34" s="355"/>
      <c r="D34" s="355"/>
      <c r="E34" s="355"/>
      <c r="F34" s="356"/>
      <c r="G34" s="357"/>
      <c r="H34" s="358"/>
      <c r="I34" s="358"/>
      <c r="J34" s="358"/>
      <c r="K34" s="358"/>
      <c r="L34" s="359"/>
      <c r="M34" s="359"/>
      <c r="N34" s="358"/>
      <c r="O34" s="715"/>
      <c r="P34" s="715"/>
      <c r="Q34" s="643"/>
    </row>
    <row r="35" spans="1:19" s="382" customFormat="1" ht="60" customHeight="1">
      <c r="A35" s="1723" t="s">
        <v>632</v>
      </c>
      <c r="B35" s="1538" t="s">
        <v>676</v>
      </c>
      <c r="C35" s="1538" t="s">
        <v>610</v>
      </c>
      <c r="D35" s="1538" t="s">
        <v>611</v>
      </c>
      <c r="E35" s="1538" t="s">
        <v>1453</v>
      </c>
      <c r="F35" s="1472" t="s">
        <v>159</v>
      </c>
      <c r="G35" s="1509" t="s">
        <v>110</v>
      </c>
      <c r="H35" s="1477" t="s">
        <v>316</v>
      </c>
      <c r="I35" s="1472" t="s">
        <v>315</v>
      </c>
      <c r="J35" s="1472" t="s">
        <v>317</v>
      </c>
      <c r="K35" s="1472" t="s">
        <v>318</v>
      </c>
      <c r="L35" s="569" t="s">
        <v>1443</v>
      </c>
      <c r="M35" s="569" t="s">
        <v>1444</v>
      </c>
      <c r="N35" s="709" t="s">
        <v>1445</v>
      </c>
      <c r="O35" s="1477" t="s">
        <v>1673</v>
      </c>
      <c r="P35" s="1477" t="s">
        <v>1307</v>
      </c>
      <c r="Q35" s="1495" t="s">
        <v>1454</v>
      </c>
    </row>
    <row r="36" spans="1:19" s="382" customFormat="1" ht="15.75" thickBot="1">
      <c r="A36" s="1724"/>
      <c r="B36" s="1539"/>
      <c r="C36" s="1539"/>
      <c r="D36" s="1539"/>
      <c r="E36" s="1539"/>
      <c r="F36" s="1473"/>
      <c r="G36" s="1510"/>
      <c r="H36" s="1478"/>
      <c r="I36" s="1473"/>
      <c r="J36" s="1473"/>
      <c r="K36" s="1473"/>
      <c r="L36" s="570" t="s">
        <v>805</v>
      </c>
      <c r="M36" s="570" t="s">
        <v>805</v>
      </c>
      <c r="N36" s="710" t="s">
        <v>1149</v>
      </c>
      <c r="O36" s="1478"/>
      <c r="P36" s="1478"/>
      <c r="Q36" s="1496"/>
    </row>
    <row r="37" spans="1:19" s="382" customFormat="1" ht="69.95" customHeight="1">
      <c r="A37" s="1599" t="s">
        <v>1458</v>
      </c>
      <c r="B37" s="1599" t="s">
        <v>612</v>
      </c>
      <c r="C37" s="1599" t="s">
        <v>1195</v>
      </c>
      <c r="D37" s="1505">
        <f xml:space="preserve"> 313 +439+398</f>
        <v>1150</v>
      </c>
      <c r="E37" s="1725" t="s">
        <v>1451</v>
      </c>
      <c r="F37" s="731" t="s">
        <v>531</v>
      </c>
      <c r="G37" s="412" t="s">
        <v>1869</v>
      </c>
      <c r="H37" s="422" t="s">
        <v>160</v>
      </c>
      <c r="I37" s="713">
        <v>6800</v>
      </c>
      <c r="J37" s="737">
        <f>'preturi unitare'!H26</f>
        <v>117</v>
      </c>
      <c r="K37" s="737">
        <f>I37*J37</f>
        <v>795600</v>
      </c>
      <c r="L37" s="835">
        <f t="shared" ref="L37:L44" si="3">K37</f>
        <v>795600</v>
      </c>
      <c r="M37" s="835">
        <v>0</v>
      </c>
      <c r="N37" s="737">
        <v>0</v>
      </c>
      <c r="O37" s="1512">
        <f>SUM(L37:L44)</f>
        <v>2503907</v>
      </c>
      <c r="P37" s="1512">
        <f>O37/D37</f>
        <v>2177.3104347826088</v>
      </c>
      <c r="Q37" s="1572" t="s">
        <v>1558</v>
      </c>
    </row>
    <row r="38" spans="1:19" s="382" customFormat="1" ht="30">
      <c r="A38" s="1701"/>
      <c r="B38" s="1701"/>
      <c r="C38" s="1567"/>
      <c r="D38" s="1514"/>
      <c r="E38" s="1504"/>
      <c r="F38" s="721" t="s">
        <v>321</v>
      </c>
      <c r="G38" s="329" t="s">
        <v>1196</v>
      </c>
      <c r="H38" s="368" t="s">
        <v>280</v>
      </c>
      <c r="I38" s="714">
        <v>1</v>
      </c>
      <c r="J38" s="717">
        <v>16000</v>
      </c>
      <c r="K38" s="717">
        <f>I38*J38</f>
        <v>16000</v>
      </c>
      <c r="L38" s="401">
        <f t="shared" si="3"/>
        <v>16000</v>
      </c>
      <c r="M38" s="401">
        <v>0</v>
      </c>
      <c r="N38" s="717">
        <v>0</v>
      </c>
      <c r="O38" s="1515"/>
      <c r="P38" s="1515"/>
      <c r="Q38" s="1638"/>
    </row>
    <row r="39" spans="1:19" s="382" customFormat="1" ht="51.75" customHeight="1">
      <c r="A39" s="1701"/>
      <c r="B39" s="1701"/>
      <c r="C39" s="1567"/>
      <c r="D39" s="1514"/>
      <c r="E39" s="1504"/>
      <c r="F39" s="1600" t="s">
        <v>322</v>
      </c>
      <c r="G39" s="329" t="s">
        <v>1197</v>
      </c>
      <c r="H39" s="368" t="s">
        <v>160</v>
      </c>
      <c r="I39" s="714">
        <v>13295</v>
      </c>
      <c r="J39" s="717">
        <f>J10</f>
        <v>55</v>
      </c>
      <c r="K39" s="717">
        <f>J39*I39</f>
        <v>731225</v>
      </c>
      <c r="L39" s="401">
        <f>K39</f>
        <v>731225</v>
      </c>
      <c r="M39" s="401">
        <v>0</v>
      </c>
      <c r="N39" s="717"/>
      <c r="O39" s="1515"/>
      <c r="P39" s="1515"/>
      <c r="Q39" s="1638"/>
    </row>
    <row r="40" spans="1:19" s="382" customFormat="1" ht="45.75" customHeight="1">
      <c r="A40" s="1701"/>
      <c r="B40" s="1701"/>
      <c r="C40" s="1567"/>
      <c r="D40" s="1514"/>
      <c r="E40" s="1504"/>
      <c r="F40" s="1600"/>
      <c r="G40" s="329" t="s">
        <v>1198</v>
      </c>
      <c r="H40" s="368" t="s">
        <v>160</v>
      </c>
      <c r="I40" s="714">
        <v>3775</v>
      </c>
      <c r="J40" s="717">
        <f>'preturi unitare'!H32</f>
        <v>58</v>
      </c>
      <c r="K40" s="717">
        <f>J40*I40</f>
        <v>218950</v>
      </c>
      <c r="L40" s="401">
        <f t="shared" si="3"/>
        <v>218950</v>
      </c>
      <c r="M40" s="401">
        <v>0</v>
      </c>
      <c r="N40" s="717">
        <v>0</v>
      </c>
      <c r="O40" s="1515"/>
      <c r="P40" s="1515"/>
      <c r="Q40" s="1638"/>
    </row>
    <row r="41" spans="1:19" s="382" customFormat="1" ht="48.75" customHeight="1">
      <c r="A41" s="1701"/>
      <c r="B41" s="1701"/>
      <c r="C41" s="1567"/>
      <c r="D41" s="1514"/>
      <c r="E41" s="1504"/>
      <c r="F41" s="1600"/>
      <c r="G41" s="329" t="s">
        <v>1199</v>
      </c>
      <c r="H41" s="368" t="s">
        <v>160</v>
      </c>
      <c r="I41" s="714">
        <v>3790</v>
      </c>
      <c r="J41" s="717">
        <f>'preturi unitare'!H33</f>
        <v>60</v>
      </c>
      <c r="K41" s="717">
        <f>J41*I41</f>
        <v>227400</v>
      </c>
      <c r="L41" s="401">
        <f t="shared" si="3"/>
        <v>227400</v>
      </c>
      <c r="M41" s="401">
        <v>0</v>
      </c>
      <c r="N41" s="717">
        <v>0</v>
      </c>
      <c r="O41" s="1515"/>
      <c r="P41" s="1515"/>
      <c r="Q41" s="1638"/>
    </row>
    <row r="42" spans="1:19" s="382" customFormat="1" ht="45.75" customHeight="1">
      <c r="A42" s="1701"/>
      <c r="B42" s="1701"/>
      <c r="C42" s="1567"/>
      <c r="D42" s="1514"/>
      <c r="E42" s="1504"/>
      <c r="F42" s="1600"/>
      <c r="G42" s="329" t="s">
        <v>1200</v>
      </c>
      <c r="H42" s="368" t="s">
        <v>160</v>
      </c>
      <c r="I42" s="714">
        <v>5562</v>
      </c>
      <c r="J42" s="717">
        <f>'preturi unitare'!H22</f>
        <v>64</v>
      </c>
      <c r="K42" s="717">
        <f>J42*I42</f>
        <v>355968</v>
      </c>
      <c r="L42" s="401">
        <f t="shared" si="3"/>
        <v>355968</v>
      </c>
      <c r="M42" s="401">
        <v>0</v>
      </c>
      <c r="N42" s="717">
        <v>0</v>
      </c>
      <c r="O42" s="1515"/>
      <c r="P42" s="1515"/>
      <c r="Q42" s="1638"/>
    </row>
    <row r="43" spans="1:19" s="382" customFormat="1" ht="45.75" customHeight="1">
      <c r="A43" s="1701"/>
      <c r="B43" s="1701"/>
      <c r="C43" s="1567"/>
      <c r="D43" s="1514"/>
      <c r="E43" s="1504"/>
      <c r="F43" s="1600"/>
      <c r="G43" s="329" t="s">
        <v>1201</v>
      </c>
      <c r="H43" s="368" t="s">
        <v>160</v>
      </c>
      <c r="I43" s="714">
        <v>860</v>
      </c>
      <c r="J43" s="717">
        <f>'preturi unitare'!H23</f>
        <v>68</v>
      </c>
      <c r="K43" s="717">
        <f>J43*I43</f>
        <v>58480</v>
      </c>
      <c r="L43" s="401">
        <f t="shared" si="3"/>
        <v>58480</v>
      </c>
      <c r="M43" s="401">
        <v>0</v>
      </c>
      <c r="N43" s="717">
        <v>0</v>
      </c>
      <c r="O43" s="1515"/>
      <c r="P43" s="1515"/>
      <c r="Q43" s="1638"/>
    </row>
    <row r="44" spans="1:19" s="382" customFormat="1" ht="47.25">
      <c r="A44" s="1701"/>
      <c r="B44" s="1701"/>
      <c r="C44" s="1567"/>
      <c r="D44" s="1514"/>
      <c r="E44" s="1505"/>
      <c r="F44" s="721" t="s">
        <v>279</v>
      </c>
      <c r="G44" s="438" t="s">
        <v>1384</v>
      </c>
      <c r="H44" s="440" t="s">
        <v>280</v>
      </c>
      <c r="I44" s="717">
        <v>1</v>
      </c>
      <c r="J44" s="717">
        <v>100284</v>
      </c>
      <c r="K44" s="717">
        <f>J44</f>
        <v>100284</v>
      </c>
      <c r="L44" s="401">
        <f t="shared" si="3"/>
        <v>100284</v>
      </c>
      <c r="M44" s="401">
        <v>0</v>
      </c>
      <c r="N44" s="717">
        <v>0</v>
      </c>
      <c r="O44" s="1515"/>
      <c r="P44" s="1515"/>
      <c r="Q44" s="1639"/>
    </row>
    <row r="45" spans="1:19" s="382" customFormat="1">
      <c r="A45" s="820"/>
      <c r="B45" s="326"/>
      <c r="C45" s="326"/>
      <c r="D45" s="326"/>
      <c r="E45" s="326"/>
      <c r="F45" s="326"/>
      <c r="G45" s="326"/>
      <c r="H45" s="326"/>
      <c r="I45" s="714"/>
      <c r="J45" s="714"/>
      <c r="K45" s="714"/>
      <c r="L45" s="334"/>
      <c r="M45" s="334"/>
      <c r="N45" s="326"/>
      <c r="O45" s="714"/>
      <c r="P45" s="714"/>
      <c r="Q45" s="587"/>
    </row>
    <row r="46" spans="1:19" s="382" customFormat="1">
      <c r="A46" s="1529" t="s">
        <v>807</v>
      </c>
      <c r="B46" s="1530"/>
      <c r="C46" s="1530"/>
      <c r="D46" s="1530"/>
      <c r="E46" s="1530"/>
      <c r="F46" s="1530"/>
      <c r="G46" s="1531"/>
      <c r="H46" s="793"/>
      <c r="I46" s="714"/>
      <c r="J46" s="714"/>
      <c r="K46" s="364">
        <f>SUM(K37:K44)</f>
        <v>2503907</v>
      </c>
      <c r="L46" s="365">
        <f>SUM(L37:L44)</f>
        <v>2503907</v>
      </c>
      <c r="M46" s="365">
        <f>SUM(M37:M44)</f>
        <v>0</v>
      </c>
      <c r="N46" s="408">
        <f>SUM(N37:N44)</f>
        <v>0</v>
      </c>
      <c r="O46" s="714"/>
      <c r="P46" s="714"/>
      <c r="Q46" s="644"/>
      <c r="S46" s="629"/>
    </row>
    <row r="47" spans="1:19" s="382" customFormat="1" ht="15.75" thickBot="1">
      <c r="A47" s="833"/>
      <c r="B47" s="397"/>
      <c r="C47" s="397"/>
      <c r="D47" s="397"/>
      <c r="E47" s="397"/>
      <c r="F47" s="711"/>
      <c r="G47" s="417"/>
      <c r="H47" s="732"/>
      <c r="I47" s="732"/>
      <c r="J47" s="732"/>
      <c r="K47" s="732"/>
      <c r="L47" s="426"/>
      <c r="M47" s="426"/>
      <c r="N47" s="418"/>
      <c r="O47" s="715"/>
      <c r="P47" s="715"/>
      <c r="Q47" s="643"/>
    </row>
    <row r="48" spans="1:19" s="382" customFormat="1" ht="60" customHeight="1">
      <c r="A48" s="1608" t="s">
        <v>632</v>
      </c>
      <c r="B48" s="1544" t="s">
        <v>617</v>
      </c>
      <c r="C48" s="1538" t="s">
        <v>610</v>
      </c>
      <c r="D48" s="1538" t="s">
        <v>611</v>
      </c>
      <c r="E48" s="1538" t="s">
        <v>1453</v>
      </c>
      <c r="F48" s="1472" t="s">
        <v>159</v>
      </c>
      <c r="G48" s="1509" t="s">
        <v>110</v>
      </c>
      <c r="H48" s="1477" t="s">
        <v>316</v>
      </c>
      <c r="I48" s="1472" t="s">
        <v>315</v>
      </c>
      <c r="J48" s="1472" t="s">
        <v>317</v>
      </c>
      <c r="K48" s="1472" t="s">
        <v>318</v>
      </c>
      <c r="L48" s="569" t="s">
        <v>1443</v>
      </c>
      <c r="M48" s="569" t="s">
        <v>1444</v>
      </c>
      <c r="N48" s="709" t="s">
        <v>1445</v>
      </c>
      <c r="O48" s="1477" t="s">
        <v>1673</v>
      </c>
      <c r="P48" s="1477" t="s">
        <v>1307</v>
      </c>
      <c r="Q48" s="1495" t="s">
        <v>1454</v>
      </c>
    </row>
    <row r="49" spans="1:17" s="382" customFormat="1" ht="15.75" thickBot="1">
      <c r="A49" s="1609"/>
      <c r="B49" s="1545"/>
      <c r="C49" s="1539"/>
      <c r="D49" s="1539"/>
      <c r="E49" s="1539"/>
      <c r="F49" s="1473"/>
      <c r="G49" s="1510"/>
      <c r="H49" s="1478"/>
      <c r="I49" s="1473"/>
      <c r="J49" s="1473"/>
      <c r="K49" s="1473"/>
      <c r="L49" s="570" t="s">
        <v>805</v>
      </c>
      <c r="M49" s="570" t="s">
        <v>805</v>
      </c>
      <c r="N49" s="710" t="s">
        <v>1149</v>
      </c>
      <c r="O49" s="1478"/>
      <c r="P49" s="1478"/>
      <c r="Q49" s="1496"/>
    </row>
    <row r="50" spans="1:17" s="382" customFormat="1" ht="45">
      <c r="A50" s="1599" t="s">
        <v>726</v>
      </c>
      <c r="B50" s="720" t="s">
        <v>1451</v>
      </c>
      <c r="C50" s="836" t="s">
        <v>726</v>
      </c>
      <c r="D50" s="422">
        <v>313</v>
      </c>
      <c r="E50" s="422">
        <f>D50</f>
        <v>313</v>
      </c>
      <c r="F50" s="736" t="s">
        <v>323</v>
      </c>
      <c r="G50" s="837" t="s">
        <v>1312</v>
      </c>
      <c r="H50" s="838" t="s">
        <v>280</v>
      </c>
      <c r="I50" s="1130">
        <v>1</v>
      </c>
      <c r="J50" s="1130">
        <f>'preturi unitare'!N4</f>
        <v>70000</v>
      </c>
      <c r="K50" s="1130">
        <f>I50*J50</f>
        <v>70000</v>
      </c>
      <c r="L50" s="835">
        <v>0</v>
      </c>
      <c r="M50" s="835">
        <f>K50</f>
        <v>70000</v>
      </c>
      <c r="N50" s="737">
        <v>0</v>
      </c>
      <c r="O50" s="749">
        <f>K50</f>
        <v>70000</v>
      </c>
      <c r="P50" s="749">
        <f>O50/E50</f>
        <v>223.64217252396165</v>
      </c>
      <c r="Q50" s="993" t="s">
        <v>1559</v>
      </c>
    </row>
    <row r="51" spans="1:17" s="382" customFormat="1" ht="30">
      <c r="A51" s="1567"/>
      <c r="B51" s="1625" t="s">
        <v>1451</v>
      </c>
      <c r="C51" s="1713" t="s">
        <v>808</v>
      </c>
      <c r="D51" s="1514">
        <f>439</f>
        <v>439</v>
      </c>
      <c r="E51" s="1513">
        <f>D51</f>
        <v>439</v>
      </c>
      <c r="F51" s="1132" t="s">
        <v>323</v>
      </c>
      <c r="G51" s="439" t="s">
        <v>1003</v>
      </c>
      <c r="H51" s="441" t="s">
        <v>280</v>
      </c>
      <c r="I51" s="1121">
        <v>1</v>
      </c>
      <c r="J51" s="1121">
        <f>'preturi unitare'!O26</f>
        <v>94000</v>
      </c>
      <c r="K51" s="1121">
        <f>I51*J51</f>
        <v>94000</v>
      </c>
      <c r="L51" s="401">
        <v>0</v>
      </c>
      <c r="M51" s="401">
        <f>K51</f>
        <v>94000</v>
      </c>
      <c r="N51" s="717">
        <v>0</v>
      </c>
      <c r="O51" s="1515">
        <f>SUM(K51:K52)</f>
        <v>864000</v>
      </c>
      <c r="P51" s="1515">
        <f>O51/D51</f>
        <v>1968.109339407745</v>
      </c>
      <c r="Q51" s="1641" t="s">
        <v>1560</v>
      </c>
    </row>
    <row r="52" spans="1:17" s="382" customFormat="1" ht="30">
      <c r="A52" s="1567"/>
      <c r="B52" s="1599"/>
      <c r="C52" s="1713"/>
      <c r="D52" s="1514"/>
      <c r="E52" s="1505"/>
      <c r="F52" s="1132" t="s">
        <v>325</v>
      </c>
      <c r="G52" s="403" t="s">
        <v>1004</v>
      </c>
      <c r="H52" s="395" t="s">
        <v>160</v>
      </c>
      <c r="I52" s="1119">
        <v>5000</v>
      </c>
      <c r="J52" s="1121">
        <f>'preturi unitare'!H40</f>
        <v>154</v>
      </c>
      <c r="K52" s="1121">
        <f>I52*J52</f>
        <v>770000</v>
      </c>
      <c r="L52" s="401">
        <v>0</v>
      </c>
      <c r="M52" s="401">
        <f>K52</f>
        <v>770000</v>
      </c>
      <c r="N52" s="717">
        <v>0</v>
      </c>
      <c r="O52" s="1515"/>
      <c r="P52" s="1515"/>
      <c r="Q52" s="1583"/>
    </row>
    <row r="53" spans="1:17" s="382" customFormat="1" ht="30">
      <c r="A53" s="1567"/>
      <c r="B53" s="1625" t="s">
        <v>1451</v>
      </c>
      <c r="C53" s="1713" t="s">
        <v>806</v>
      </c>
      <c r="D53" s="1514">
        <v>398</v>
      </c>
      <c r="E53" s="1513">
        <f>D53</f>
        <v>398</v>
      </c>
      <c r="F53" s="1132" t="s">
        <v>323</v>
      </c>
      <c r="G53" s="439" t="s">
        <v>1005</v>
      </c>
      <c r="H53" s="441" t="s">
        <v>280</v>
      </c>
      <c r="I53" s="1121">
        <v>1</v>
      </c>
      <c r="J53" s="1121">
        <f>'preturi unitare'!O25</f>
        <v>92000</v>
      </c>
      <c r="K53" s="1121">
        <f>J53*I53</f>
        <v>92000</v>
      </c>
      <c r="L53" s="401">
        <v>0</v>
      </c>
      <c r="M53" s="401">
        <f>K53</f>
        <v>92000</v>
      </c>
      <c r="N53" s="717">
        <v>0</v>
      </c>
      <c r="O53" s="1515">
        <f>SUM(K53:K54)</f>
        <v>785000</v>
      </c>
      <c r="P53" s="1515">
        <f>O53/D53</f>
        <v>1972.3618090452262</v>
      </c>
      <c r="Q53" s="1641" t="s">
        <v>1561</v>
      </c>
    </row>
    <row r="54" spans="1:17" s="382" customFormat="1" ht="30">
      <c r="A54" s="1567"/>
      <c r="B54" s="1599"/>
      <c r="C54" s="1713"/>
      <c r="D54" s="1514"/>
      <c r="E54" s="1505"/>
      <c r="F54" s="468" t="s">
        <v>325</v>
      </c>
      <c r="G54" s="403" t="s">
        <v>1006</v>
      </c>
      <c r="H54" s="395" t="s">
        <v>160</v>
      </c>
      <c r="I54" s="714">
        <v>4500</v>
      </c>
      <c r="J54" s="717">
        <f>'preturi unitare'!H40</f>
        <v>154</v>
      </c>
      <c r="K54" s="717">
        <f>J54*I54</f>
        <v>693000</v>
      </c>
      <c r="L54" s="401">
        <v>0</v>
      </c>
      <c r="M54" s="401">
        <f>K54</f>
        <v>693000</v>
      </c>
      <c r="N54" s="717">
        <v>0</v>
      </c>
      <c r="O54" s="1515"/>
      <c r="P54" s="1515"/>
      <c r="Q54" s="1583"/>
    </row>
    <row r="55" spans="1:17" s="382" customFormat="1">
      <c r="A55" s="645"/>
      <c r="B55" s="722"/>
      <c r="C55" s="722"/>
      <c r="D55" s="722"/>
      <c r="E55" s="722"/>
      <c r="F55" s="721"/>
      <c r="G55" s="384"/>
      <c r="H55" s="714"/>
      <c r="I55" s="714"/>
      <c r="J55" s="714"/>
      <c r="K55" s="714"/>
      <c r="L55" s="334"/>
      <c r="M55" s="334"/>
      <c r="N55" s="326"/>
      <c r="O55" s="729"/>
      <c r="P55" s="729"/>
      <c r="Q55" s="587"/>
    </row>
    <row r="56" spans="1:17" s="382" customFormat="1">
      <c r="A56" s="1707" t="s">
        <v>413</v>
      </c>
      <c r="B56" s="1708"/>
      <c r="C56" s="1708"/>
      <c r="D56" s="1708"/>
      <c r="E56" s="1708"/>
      <c r="F56" s="1708"/>
      <c r="G56" s="1709"/>
      <c r="H56" s="364"/>
      <c r="I56" s="364"/>
      <c r="J56" s="364"/>
      <c r="K56" s="364">
        <f>SUM(K50:K54)</f>
        <v>1719000</v>
      </c>
      <c r="L56" s="365">
        <f>SUM(L50:L55)</f>
        <v>0</v>
      </c>
      <c r="M56" s="365">
        <f>SUM(M50:M54)</f>
        <v>1719000</v>
      </c>
      <c r="N56" s="364">
        <f>SUM(N50:N54)</f>
        <v>0</v>
      </c>
      <c r="O56" s="714"/>
      <c r="P56" s="714"/>
      <c r="Q56" s="587"/>
    </row>
    <row r="57" spans="1:17" s="382" customFormat="1">
      <c r="A57" s="645"/>
      <c r="B57" s="742"/>
      <c r="C57" s="742"/>
      <c r="D57" s="742"/>
      <c r="E57" s="742"/>
      <c r="F57" s="721"/>
      <c r="G57" s="328"/>
      <c r="H57" s="714"/>
      <c r="I57" s="714"/>
      <c r="J57" s="714"/>
      <c r="K57" s="714"/>
      <c r="L57" s="334"/>
      <c r="M57" s="334"/>
      <c r="N57" s="714"/>
      <c r="O57" s="714"/>
      <c r="P57" s="714"/>
      <c r="Q57" s="587"/>
    </row>
    <row r="58" spans="1:17" s="382" customFormat="1" ht="15.75" customHeight="1" thickBot="1">
      <c r="A58" s="1710" t="s">
        <v>414</v>
      </c>
      <c r="B58" s="1711"/>
      <c r="C58" s="1711"/>
      <c r="D58" s="1711"/>
      <c r="E58" s="1711"/>
      <c r="F58" s="1711"/>
      <c r="G58" s="1712"/>
      <c r="H58" s="581"/>
      <c r="I58" s="581"/>
      <c r="J58" s="581"/>
      <c r="K58" s="582">
        <f>K56+K46</f>
        <v>4222907</v>
      </c>
      <c r="L58" s="583">
        <f>L56+L46</f>
        <v>2503907</v>
      </c>
      <c r="M58" s="583">
        <f>M56+M46</f>
        <v>1719000</v>
      </c>
      <c r="N58" s="582">
        <f>N56+N46</f>
        <v>0</v>
      </c>
      <c r="O58" s="581"/>
      <c r="P58" s="581"/>
      <c r="Q58" s="816"/>
    </row>
    <row r="59" spans="1:17" s="382" customFormat="1" ht="15.75" thickBot="1">
      <c r="B59" s="606"/>
      <c r="C59" s="606"/>
      <c r="D59" s="606"/>
      <c r="E59" s="606"/>
      <c r="F59" s="607"/>
      <c r="G59" s="576"/>
      <c r="H59" s="608"/>
      <c r="I59" s="608"/>
      <c r="J59" s="608"/>
      <c r="K59" s="608"/>
      <c r="L59" s="609"/>
      <c r="M59" s="609"/>
      <c r="N59" s="608"/>
      <c r="O59" s="586"/>
      <c r="P59" s="586"/>
      <c r="Q59" s="586"/>
    </row>
    <row r="60" spans="1:17" s="382" customFormat="1" ht="15.75" thickBot="1">
      <c r="A60" s="839"/>
      <c r="B60" s="638"/>
      <c r="C60" s="638"/>
      <c r="D60" s="712"/>
      <c r="E60" s="712"/>
      <c r="F60" s="846"/>
      <c r="G60" s="577" t="s">
        <v>1880</v>
      </c>
      <c r="H60" s="847"/>
      <c r="I60" s="840"/>
      <c r="J60" s="641"/>
      <c r="K60" s="638"/>
      <c r="L60" s="845"/>
      <c r="M60" s="845"/>
      <c r="N60" s="638"/>
      <c r="O60" s="841"/>
      <c r="P60" s="841"/>
      <c r="Q60" s="642"/>
    </row>
    <row r="61" spans="1:17" s="382" customFormat="1" ht="15.75" thickBot="1">
      <c r="A61" s="645"/>
      <c r="B61" s="421"/>
      <c r="C61" s="421"/>
      <c r="D61" s="435"/>
      <c r="E61" s="435"/>
      <c r="F61" s="356"/>
      <c r="G61" s="585"/>
      <c r="H61" s="371"/>
      <c r="I61" s="371"/>
      <c r="J61" s="371"/>
      <c r="K61" s="371"/>
      <c r="L61" s="372"/>
      <c r="M61" s="372"/>
      <c r="N61" s="371"/>
      <c r="O61" s="715"/>
      <c r="P61" s="715"/>
      <c r="Q61" s="643"/>
    </row>
    <row r="62" spans="1:17" s="382" customFormat="1" ht="60" customHeight="1">
      <c r="A62" s="1538" t="s">
        <v>669</v>
      </c>
      <c r="B62" s="1538" t="s">
        <v>676</v>
      </c>
      <c r="C62" s="1538" t="s">
        <v>610</v>
      </c>
      <c r="D62" s="1776" t="s">
        <v>611</v>
      </c>
      <c r="E62" s="1538" t="s">
        <v>1453</v>
      </c>
      <c r="F62" s="1472" t="s">
        <v>159</v>
      </c>
      <c r="G62" s="1509" t="s">
        <v>110</v>
      </c>
      <c r="H62" s="1477" t="s">
        <v>316</v>
      </c>
      <c r="I62" s="1472" t="s">
        <v>315</v>
      </c>
      <c r="J62" s="1472" t="s">
        <v>317</v>
      </c>
      <c r="K62" s="1472" t="s">
        <v>318</v>
      </c>
      <c r="L62" s="569" t="s">
        <v>1443</v>
      </c>
      <c r="M62" s="569" t="s">
        <v>1444</v>
      </c>
      <c r="N62" s="709" t="s">
        <v>1445</v>
      </c>
      <c r="O62" s="1477" t="s">
        <v>1673</v>
      </c>
      <c r="P62" s="1477" t="s">
        <v>1307</v>
      </c>
      <c r="Q62" s="1495" t="s">
        <v>1454</v>
      </c>
    </row>
    <row r="63" spans="1:17" s="382" customFormat="1" ht="15.75" thickBot="1">
      <c r="A63" s="1539"/>
      <c r="B63" s="1539"/>
      <c r="C63" s="1539"/>
      <c r="D63" s="1777"/>
      <c r="E63" s="1539"/>
      <c r="F63" s="1473"/>
      <c r="G63" s="1510"/>
      <c r="H63" s="1478"/>
      <c r="I63" s="1473"/>
      <c r="J63" s="1473"/>
      <c r="K63" s="1473"/>
      <c r="L63" s="570" t="s">
        <v>805</v>
      </c>
      <c r="M63" s="570" t="s">
        <v>805</v>
      </c>
      <c r="N63" s="710" t="s">
        <v>1149</v>
      </c>
      <c r="O63" s="1478"/>
      <c r="P63" s="1478"/>
      <c r="Q63" s="1496"/>
    </row>
    <row r="64" spans="1:17" s="382" customFormat="1" ht="45">
      <c r="A64" s="1599" t="s">
        <v>1459</v>
      </c>
      <c r="B64" s="1599" t="s">
        <v>612</v>
      </c>
      <c r="C64" s="1599" t="s">
        <v>1202</v>
      </c>
      <c r="D64" s="1505">
        <f>677+363+111+121</f>
        <v>1272</v>
      </c>
      <c r="E64" s="1725" t="s">
        <v>1451</v>
      </c>
      <c r="F64" s="731" t="s">
        <v>320</v>
      </c>
      <c r="G64" s="842" t="s">
        <v>1203</v>
      </c>
      <c r="H64" s="843" t="s">
        <v>160</v>
      </c>
      <c r="I64" s="737">
        <v>7722</v>
      </c>
      <c r="J64" s="737">
        <f>'preturi unitare'!H26</f>
        <v>117</v>
      </c>
      <c r="K64" s="737">
        <f t="shared" ref="K64:K71" si="4">I64*J64</f>
        <v>903474</v>
      </c>
      <c r="L64" s="835">
        <f>K64</f>
        <v>903474</v>
      </c>
      <c r="M64" s="835">
        <v>0</v>
      </c>
      <c r="N64" s="737">
        <v>0</v>
      </c>
      <c r="O64" s="1512">
        <f>SUM(L64:L72)</f>
        <v>3422714</v>
      </c>
      <c r="P64" s="1512">
        <f>O64/D64</f>
        <v>2690.8128930817611</v>
      </c>
      <c r="Q64" s="1572" t="s">
        <v>1562</v>
      </c>
    </row>
    <row r="65" spans="1:19" s="382" customFormat="1" ht="30">
      <c r="A65" s="1567"/>
      <c r="B65" s="1567"/>
      <c r="C65" s="1567"/>
      <c r="D65" s="1514"/>
      <c r="E65" s="1504"/>
      <c r="F65" s="721" t="s">
        <v>321</v>
      </c>
      <c r="G65" s="438" t="s">
        <v>1204</v>
      </c>
      <c r="H65" s="440" t="s">
        <v>280</v>
      </c>
      <c r="I65" s="717">
        <v>1</v>
      </c>
      <c r="J65" s="717">
        <v>80000</v>
      </c>
      <c r="K65" s="717">
        <f t="shared" si="4"/>
        <v>80000</v>
      </c>
      <c r="L65" s="401">
        <f>K65</f>
        <v>80000</v>
      </c>
      <c r="M65" s="401">
        <v>0</v>
      </c>
      <c r="N65" s="717">
        <v>0</v>
      </c>
      <c r="O65" s="1515"/>
      <c r="P65" s="1515"/>
      <c r="Q65" s="1636"/>
    </row>
    <row r="66" spans="1:19" s="382" customFormat="1" ht="30">
      <c r="A66" s="1567"/>
      <c r="B66" s="1567"/>
      <c r="C66" s="1567"/>
      <c r="D66" s="1514"/>
      <c r="E66" s="1504"/>
      <c r="F66" s="1600" t="s">
        <v>322</v>
      </c>
      <c r="G66" s="438" t="s">
        <v>1205</v>
      </c>
      <c r="H66" s="440" t="s">
        <v>160</v>
      </c>
      <c r="I66" s="717">
        <v>18300</v>
      </c>
      <c r="J66" s="717">
        <f>J39</f>
        <v>55</v>
      </c>
      <c r="K66" s="717">
        <f t="shared" si="4"/>
        <v>1006500</v>
      </c>
      <c r="L66" s="401">
        <f>K66</f>
        <v>1006500</v>
      </c>
      <c r="M66" s="401">
        <v>0</v>
      </c>
      <c r="N66" s="717">
        <v>0</v>
      </c>
      <c r="O66" s="1515"/>
      <c r="P66" s="1515"/>
      <c r="Q66" s="1636"/>
    </row>
    <row r="67" spans="1:19" s="382" customFormat="1" ht="30">
      <c r="A67" s="1567"/>
      <c r="B67" s="1567"/>
      <c r="C67" s="1567"/>
      <c r="D67" s="1514"/>
      <c r="E67" s="1504"/>
      <c r="F67" s="1600"/>
      <c r="G67" s="438" t="s">
        <v>1206</v>
      </c>
      <c r="H67" s="440" t="s">
        <v>160</v>
      </c>
      <c r="I67" s="717">
        <v>2000</v>
      </c>
      <c r="J67" s="717">
        <f>'preturi unitare'!H32</f>
        <v>58</v>
      </c>
      <c r="K67" s="717">
        <f t="shared" si="4"/>
        <v>116000</v>
      </c>
      <c r="L67" s="401">
        <f t="shared" ref="L67:L71" si="5">K67</f>
        <v>116000</v>
      </c>
      <c r="M67" s="401">
        <v>0</v>
      </c>
      <c r="N67" s="717">
        <v>0</v>
      </c>
      <c r="O67" s="1515"/>
      <c r="P67" s="1515"/>
      <c r="Q67" s="1636"/>
    </row>
    <row r="68" spans="1:19" s="382" customFormat="1" ht="30">
      <c r="A68" s="1567"/>
      <c r="B68" s="1567"/>
      <c r="C68" s="1567"/>
      <c r="D68" s="1514"/>
      <c r="E68" s="1504"/>
      <c r="F68" s="1600"/>
      <c r="G68" s="438" t="s">
        <v>1207</v>
      </c>
      <c r="H68" s="440" t="s">
        <v>160</v>
      </c>
      <c r="I68" s="717">
        <v>5000</v>
      </c>
      <c r="J68" s="717">
        <f>'preturi unitare'!H33</f>
        <v>60</v>
      </c>
      <c r="K68" s="717">
        <f t="shared" si="4"/>
        <v>300000</v>
      </c>
      <c r="L68" s="401">
        <f t="shared" si="5"/>
        <v>300000</v>
      </c>
      <c r="M68" s="401">
        <v>0</v>
      </c>
      <c r="N68" s="717">
        <v>0</v>
      </c>
      <c r="O68" s="1515"/>
      <c r="P68" s="1515"/>
      <c r="Q68" s="1636"/>
    </row>
    <row r="69" spans="1:19" s="382" customFormat="1" ht="30">
      <c r="A69" s="1567"/>
      <c r="B69" s="1567"/>
      <c r="C69" s="1567"/>
      <c r="D69" s="1514"/>
      <c r="E69" s="1504"/>
      <c r="F69" s="1600"/>
      <c r="G69" s="438" t="s">
        <v>1208</v>
      </c>
      <c r="H69" s="440" t="s">
        <v>160</v>
      </c>
      <c r="I69" s="717">
        <v>4200</v>
      </c>
      <c r="J69" s="717">
        <f>'preturi unitare'!H22</f>
        <v>64</v>
      </c>
      <c r="K69" s="717">
        <f t="shared" si="4"/>
        <v>268800</v>
      </c>
      <c r="L69" s="401">
        <f t="shared" si="5"/>
        <v>268800</v>
      </c>
      <c r="M69" s="401">
        <v>0</v>
      </c>
      <c r="N69" s="717">
        <v>0</v>
      </c>
      <c r="O69" s="1515"/>
      <c r="P69" s="1515"/>
      <c r="Q69" s="1636"/>
    </row>
    <row r="70" spans="1:19" s="382" customFormat="1" ht="30">
      <c r="A70" s="1567"/>
      <c r="B70" s="1567"/>
      <c r="C70" s="1567"/>
      <c r="D70" s="1514"/>
      <c r="E70" s="1504"/>
      <c r="F70" s="1600"/>
      <c r="G70" s="438" t="s">
        <v>1209</v>
      </c>
      <c r="H70" s="440" t="s">
        <v>160</v>
      </c>
      <c r="I70" s="717">
        <v>6680</v>
      </c>
      <c r="J70" s="717">
        <f>'preturi unitare'!H23</f>
        <v>68</v>
      </c>
      <c r="K70" s="717">
        <f t="shared" si="4"/>
        <v>454240</v>
      </c>
      <c r="L70" s="401">
        <f t="shared" si="5"/>
        <v>454240</v>
      </c>
      <c r="M70" s="401">
        <v>0</v>
      </c>
      <c r="N70" s="717">
        <v>0</v>
      </c>
      <c r="O70" s="1515"/>
      <c r="P70" s="1515"/>
      <c r="Q70" s="1636"/>
    </row>
    <row r="71" spans="1:19" s="382" customFormat="1" ht="30">
      <c r="A71" s="1567"/>
      <c r="B71" s="1567"/>
      <c r="C71" s="1567"/>
      <c r="D71" s="1514"/>
      <c r="E71" s="1504"/>
      <c r="F71" s="1600"/>
      <c r="G71" s="438" t="s">
        <v>1210</v>
      </c>
      <c r="H71" s="440" t="s">
        <v>160</v>
      </c>
      <c r="I71" s="717">
        <v>300</v>
      </c>
      <c r="J71" s="717">
        <f>'preturi unitare'!H24</f>
        <v>79</v>
      </c>
      <c r="K71" s="717">
        <f t="shared" si="4"/>
        <v>23700</v>
      </c>
      <c r="L71" s="401">
        <f t="shared" si="5"/>
        <v>23700</v>
      </c>
      <c r="M71" s="401">
        <v>0</v>
      </c>
      <c r="N71" s="717">
        <v>0</v>
      </c>
      <c r="O71" s="1515"/>
      <c r="P71" s="1515"/>
      <c r="Q71" s="1636"/>
    </row>
    <row r="72" spans="1:19" s="382" customFormat="1" ht="47.25">
      <c r="A72" s="1567"/>
      <c r="B72" s="1567"/>
      <c r="C72" s="1567"/>
      <c r="D72" s="1514"/>
      <c r="E72" s="1505"/>
      <c r="F72" s="721" t="s">
        <v>279</v>
      </c>
      <c r="G72" s="438" t="s">
        <v>1211</v>
      </c>
      <c r="H72" s="440" t="s">
        <v>280</v>
      </c>
      <c r="I72" s="717">
        <v>1</v>
      </c>
      <c r="J72" s="717">
        <v>270000</v>
      </c>
      <c r="K72" s="717">
        <f>J72</f>
        <v>270000</v>
      </c>
      <c r="L72" s="401">
        <f>K72</f>
        <v>270000</v>
      </c>
      <c r="M72" s="401">
        <v>0</v>
      </c>
      <c r="N72" s="717">
        <v>0</v>
      </c>
      <c r="O72" s="1515"/>
      <c r="P72" s="1515"/>
      <c r="Q72" s="1637"/>
    </row>
    <row r="73" spans="1:19" s="382" customFormat="1">
      <c r="A73" s="820"/>
      <c r="B73" s="326"/>
      <c r="C73" s="326"/>
      <c r="D73" s="385"/>
      <c r="E73" s="385"/>
      <c r="F73" s="326"/>
      <c r="G73" s="326"/>
      <c r="H73" s="326"/>
      <c r="I73" s="714"/>
      <c r="J73" s="714"/>
      <c r="K73" s="714"/>
      <c r="L73" s="334"/>
      <c r="M73" s="334"/>
      <c r="N73" s="326"/>
      <c r="O73" s="714"/>
      <c r="P73" s="714"/>
      <c r="Q73" s="587"/>
    </row>
    <row r="74" spans="1:19" s="382" customFormat="1">
      <c r="A74" s="1532" t="s">
        <v>609</v>
      </c>
      <c r="B74" s="1533"/>
      <c r="C74" s="1533"/>
      <c r="D74" s="1533"/>
      <c r="E74" s="1533"/>
      <c r="F74" s="1533"/>
      <c r="G74" s="1534"/>
      <c r="H74" s="793"/>
      <c r="I74" s="714"/>
      <c r="J74" s="714"/>
      <c r="K74" s="364">
        <f>SUM(K64:K72)</f>
        <v>3422714</v>
      </c>
      <c r="L74" s="365">
        <f>SUM(L64:L72)</f>
        <v>3422714</v>
      </c>
      <c r="M74" s="365">
        <f>SUM(M64:M72)</f>
        <v>0</v>
      </c>
      <c r="N74" s="364">
        <f>SUM(N64:N72)</f>
        <v>0</v>
      </c>
      <c r="O74" s="714"/>
      <c r="P74" s="714"/>
      <c r="Q74" s="644"/>
      <c r="S74" s="629"/>
    </row>
    <row r="75" spans="1:19" s="382" customFormat="1" ht="15.75" thickBot="1">
      <c r="A75" s="833"/>
      <c r="B75" s="397"/>
      <c r="C75" s="397"/>
      <c r="D75" s="739"/>
      <c r="E75" s="739"/>
      <c r="F75" s="711"/>
      <c r="G75" s="417"/>
      <c r="H75" s="732"/>
      <c r="I75" s="732"/>
      <c r="J75" s="732"/>
      <c r="K75" s="732"/>
      <c r="L75" s="426"/>
      <c r="M75" s="426"/>
      <c r="N75" s="418"/>
      <c r="O75" s="715"/>
      <c r="P75" s="715"/>
      <c r="Q75" s="643"/>
    </row>
    <row r="76" spans="1:19" s="382" customFormat="1" ht="60" customHeight="1">
      <c r="A76" s="1544" t="s">
        <v>632</v>
      </c>
      <c r="B76" s="1544" t="s">
        <v>617</v>
      </c>
      <c r="C76" s="1538" t="s">
        <v>610</v>
      </c>
      <c r="D76" s="1776" t="s">
        <v>611</v>
      </c>
      <c r="E76" s="1538" t="s">
        <v>1453</v>
      </c>
      <c r="F76" s="1472" t="s">
        <v>159</v>
      </c>
      <c r="G76" s="1509" t="s">
        <v>110</v>
      </c>
      <c r="H76" s="1477" t="s">
        <v>316</v>
      </c>
      <c r="I76" s="1472" t="s">
        <v>315</v>
      </c>
      <c r="J76" s="1472" t="s">
        <v>317</v>
      </c>
      <c r="K76" s="1472" t="s">
        <v>318</v>
      </c>
      <c r="L76" s="569" t="s">
        <v>1443</v>
      </c>
      <c r="M76" s="569" t="s">
        <v>1444</v>
      </c>
      <c r="N76" s="709" t="s">
        <v>1445</v>
      </c>
      <c r="O76" s="1477" t="s">
        <v>1673</v>
      </c>
      <c r="P76" s="1477" t="s">
        <v>1307</v>
      </c>
      <c r="Q76" s="1495" t="s">
        <v>1454</v>
      </c>
    </row>
    <row r="77" spans="1:19" s="382" customFormat="1" ht="15.75" thickBot="1">
      <c r="A77" s="1545"/>
      <c r="B77" s="1545"/>
      <c r="C77" s="1539"/>
      <c r="D77" s="1777"/>
      <c r="E77" s="1539"/>
      <c r="F77" s="1473"/>
      <c r="G77" s="1510"/>
      <c r="H77" s="1478"/>
      <c r="I77" s="1473"/>
      <c r="J77" s="1473"/>
      <c r="K77" s="1473"/>
      <c r="L77" s="570" t="s">
        <v>805</v>
      </c>
      <c r="M77" s="570" t="s">
        <v>805</v>
      </c>
      <c r="N77" s="710" t="s">
        <v>1149</v>
      </c>
      <c r="O77" s="1478"/>
      <c r="P77" s="1478"/>
      <c r="Q77" s="1496"/>
    </row>
    <row r="78" spans="1:19" s="382" customFormat="1" ht="30">
      <c r="A78" s="1599" t="s">
        <v>738</v>
      </c>
      <c r="B78" s="1611" t="s">
        <v>1451</v>
      </c>
      <c r="C78" s="1612" t="s">
        <v>738</v>
      </c>
      <c r="D78" s="1505">
        <v>677</v>
      </c>
      <c r="E78" s="1503">
        <f>D78</f>
        <v>677</v>
      </c>
      <c r="F78" s="731" t="s">
        <v>323</v>
      </c>
      <c r="G78" s="842" t="s">
        <v>1028</v>
      </c>
      <c r="H78" s="843" t="s">
        <v>280</v>
      </c>
      <c r="I78" s="737">
        <v>1</v>
      </c>
      <c r="J78" s="737">
        <f>'preturi unitare'!O27</f>
        <v>106500</v>
      </c>
      <c r="K78" s="737">
        <f>I78*J78</f>
        <v>106500</v>
      </c>
      <c r="L78" s="835">
        <v>0</v>
      </c>
      <c r="M78" s="835">
        <f>K78</f>
        <v>106500</v>
      </c>
      <c r="N78" s="737">
        <v>0</v>
      </c>
      <c r="O78" s="1512">
        <f>SUM(M78:M79)</f>
        <v>1723500</v>
      </c>
      <c r="P78" s="1512">
        <f>O78/D78</f>
        <v>2545.7902511078287</v>
      </c>
      <c r="Q78" s="1572" t="s">
        <v>1563</v>
      </c>
    </row>
    <row r="79" spans="1:19" s="382" customFormat="1" ht="30">
      <c r="A79" s="1567"/>
      <c r="B79" s="1599"/>
      <c r="C79" s="1701"/>
      <c r="D79" s="1514"/>
      <c r="E79" s="1505"/>
      <c r="F79" s="721" t="s">
        <v>325</v>
      </c>
      <c r="G79" s="438" t="s">
        <v>1029</v>
      </c>
      <c r="H79" s="440" t="s">
        <v>160</v>
      </c>
      <c r="I79" s="717">
        <v>10500</v>
      </c>
      <c r="J79" s="717">
        <f>'preturi unitare'!H40</f>
        <v>154</v>
      </c>
      <c r="K79" s="717">
        <f>I79*J79</f>
        <v>1617000</v>
      </c>
      <c r="L79" s="401">
        <v>0</v>
      </c>
      <c r="M79" s="835">
        <f>K79</f>
        <v>1617000</v>
      </c>
      <c r="N79" s="1285">
        <v>0</v>
      </c>
      <c r="O79" s="1515"/>
      <c r="P79" s="1515"/>
      <c r="Q79" s="1573"/>
    </row>
    <row r="80" spans="1:19" s="382" customFormat="1" ht="30">
      <c r="A80" s="1567"/>
      <c r="B80" s="1625" t="s">
        <v>1451</v>
      </c>
      <c r="C80" s="1567" t="s">
        <v>809</v>
      </c>
      <c r="D80" s="1514">
        <v>363</v>
      </c>
      <c r="E80" s="1513">
        <f>D80</f>
        <v>363</v>
      </c>
      <c r="F80" s="721" t="s">
        <v>323</v>
      </c>
      <c r="G80" s="438" t="s">
        <v>1030</v>
      </c>
      <c r="H80" s="440" t="s">
        <v>280</v>
      </c>
      <c r="I80" s="717">
        <v>1</v>
      </c>
      <c r="J80" s="717">
        <f>'preturi unitare'!O25</f>
        <v>92000</v>
      </c>
      <c r="K80" s="717">
        <f>I80*J80</f>
        <v>92000</v>
      </c>
      <c r="L80" s="401">
        <v>0</v>
      </c>
      <c r="M80" s="835">
        <f>K80</f>
        <v>92000</v>
      </c>
      <c r="N80" s="1285">
        <v>0</v>
      </c>
      <c r="O80" s="1515">
        <f>SUM(M80:M81)</f>
        <v>708000</v>
      </c>
      <c r="P80" s="1515">
        <f>O80/D80</f>
        <v>1950.4132231404958</v>
      </c>
      <c r="Q80" s="1573" t="s">
        <v>1564</v>
      </c>
    </row>
    <row r="81" spans="1:17" s="382" customFormat="1" ht="30">
      <c r="A81" s="1567"/>
      <c r="B81" s="1599"/>
      <c r="C81" s="1567"/>
      <c r="D81" s="1514"/>
      <c r="E81" s="1505"/>
      <c r="F81" s="721" t="s">
        <v>325</v>
      </c>
      <c r="G81" s="438" t="s">
        <v>1031</v>
      </c>
      <c r="H81" s="440" t="s">
        <v>160</v>
      </c>
      <c r="I81" s="717">
        <v>4000</v>
      </c>
      <c r="J81" s="717">
        <f>J79</f>
        <v>154</v>
      </c>
      <c r="K81" s="717">
        <f>J81*I81</f>
        <v>616000</v>
      </c>
      <c r="L81" s="401">
        <v>0</v>
      </c>
      <c r="M81" s="835">
        <f>K81</f>
        <v>616000</v>
      </c>
      <c r="N81" s="1285">
        <v>0</v>
      </c>
      <c r="O81" s="1515"/>
      <c r="P81" s="1515"/>
      <c r="Q81" s="1636"/>
    </row>
    <row r="82" spans="1:17" s="382" customFormat="1" ht="45">
      <c r="A82" s="1567"/>
      <c r="B82" s="718" t="s">
        <v>1451</v>
      </c>
      <c r="C82" s="718" t="s">
        <v>810</v>
      </c>
      <c r="D82" s="717">
        <f>124+144</f>
        <v>268</v>
      </c>
      <c r="E82" s="717">
        <f>D82</f>
        <v>268</v>
      </c>
      <c r="F82" s="721" t="s">
        <v>323</v>
      </c>
      <c r="G82" s="438" t="s">
        <v>811</v>
      </c>
      <c r="H82" s="440" t="s">
        <v>1322</v>
      </c>
      <c r="I82" s="717">
        <v>1</v>
      </c>
      <c r="J82" s="717">
        <f>'preturi unitare'!L4</f>
        <v>70000</v>
      </c>
      <c r="K82" s="717">
        <f>J82*I82</f>
        <v>70000</v>
      </c>
      <c r="L82" s="401">
        <v>0</v>
      </c>
      <c r="M82" s="835">
        <f>K82</f>
        <v>70000</v>
      </c>
      <c r="N82" s="1285">
        <v>0</v>
      </c>
      <c r="O82" s="719">
        <f>K82</f>
        <v>70000</v>
      </c>
      <c r="P82" s="719">
        <f>O82/D82</f>
        <v>261.19402985074629</v>
      </c>
      <c r="Q82" s="986" t="s">
        <v>1565</v>
      </c>
    </row>
    <row r="83" spans="1:17" s="382" customFormat="1">
      <c r="A83" s="820"/>
      <c r="B83" s="722"/>
      <c r="C83" s="722"/>
      <c r="D83" s="733"/>
      <c r="E83" s="733"/>
      <c r="F83" s="721"/>
      <c r="G83" s="384"/>
      <c r="H83" s="714"/>
      <c r="I83" s="714"/>
      <c r="J83" s="714"/>
      <c r="K83" s="714"/>
      <c r="L83" s="334"/>
      <c r="M83" s="334"/>
      <c r="N83" s="326"/>
      <c r="O83" s="714"/>
      <c r="P83" s="714"/>
      <c r="Q83" s="587"/>
    </row>
    <row r="84" spans="1:17" s="382" customFormat="1">
      <c r="A84" s="1532" t="s">
        <v>458</v>
      </c>
      <c r="B84" s="1533"/>
      <c r="C84" s="1533"/>
      <c r="D84" s="1533"/>
      <c r="E84" s="1533"/>
      <c r="F84" s="1533"/>
      <c r="G84" s="1534"/>
      <c r="H84" s="364"/>
      <c r="I84" s="364"/>
      <c r="J84" s="364"/>
      <c r="K84" s="364">
        <f>SUM(K78:K82)</f>
        <v>2501500</v>
      </c>
      <c r="L84" s="365">
        <f>SUM(L78:L82)</f>
        <v>0</v>
      </c>
      <c r="M84" s="365">
        <f>SUM(M78:M82)</f>
        <v>2501500</v>
      </c>
      <c r="N84" s="364">
        <f>SUM(N78:N82)</f>
        <v>0</v>
      </c>
      <c r="O84" s="714"/>
      <c r="P84" s="714"/>
      <c r="Q84" s="587"/>
    </row>
    <row r="85" spans="1:17" s="382" customFormat="1">
      <c r="A85" s="820"/>
      <c r="B85" s="742"/>
      <c r="C85" s="742"/>
      <c r="D85" s="728"/>
      <c r="E85" s="728"/>
      <c r="F85" s="721"/>
      <c r="G85" s="328"/>
      <c r="H85" s="714"/>
      <c r="I85" s="714"/>
      <c r="J85" s="714"/>
      <c r="K85" s="714"/>
      <c r="L85" s="334"/>
      <c r="M85" s="334"/>
      <c r="N85" s="714"/>
      <c r="O85" s="714"/>
      <c r="P85" s="714"/>
      <c r="Q85" s="587"/>
    </row>
    <row r="86" spans="1:17" s="382" customFormat="1" ht="15" customHeight="1" thickBot="1">
      <c r="A86" s="1474" t="s">
        <v>459</v>
      </c>
      <c r="B86" s="1475"/>
      <c r="C86" s="1475"/>
      <c r="D86" s="1475"/>
      <c r="E86" s="1475"/>
      <c r="F86" s="1475"/>
      <c r="G86" s="1476"/>
      <c r="H86" s="581"/>
      <c r="I86" s="581"/>
      <c r="J86" s="581"/>
      <c r="K86" s="582">
        <f>K84+K74</f>
        <v>5924214</v>
      </c>
      <c r="L86" s="583">
        <f>L84+L74</f>
        <v>3422714</v>
      </c>
      <c r="M86" s="583">
        <f>M84+M74</f>
        <v>2501500</v>
      </c>
      <c r="N86" s="582">
        <f>N84+N74</f>
        <v>0</v>
      </c>
      <c r="O86" s="581"/>
      <c r="P86" s="581"/>
      <c r="Q86" s="816"/>
    </row>
    <row r="87" spans="1:17" s="382" customFormat="1" ht="15.75" thickBot="1">
      <c r="B87" s="606"/>
      <c r="C87" s="606"/>
      <c r="D87" s="606"/>
      <c r="E87" s="606"/>
      <c r="F87" s="607"/>
      <c r="G87" s="576"/>
      <c r="H87" s="608"/>
      <c r="I87" s="608"/>
      <c r="J87" s="608"/>
      <c r="K87" s="608"/>
      <c r="L87" s="609"/>
      <c r="M87" s="609"/>
      <c r="N87" s="608"/>
      <c r="O87" s="586"/>
      <c r="P87" s="586"/>
      <c r="Q87" s="586"/>
    </row>
    <row r="88" spans="1:17" s="382" customFormat="1" ht="15.75" thickBot="1">
      <c r="A88" s="839"/>
      <c r="B88" s="639"/>
      <c r="C88" s="639"/>
      <c r="D88" s="639"/>
      <c r="E88" s="639"/>
      <c r="F88" s="846"/>
      <c r="G88" s="577" t="s">
        <v>1881</v>
      </c>
      <c r="H88" s="847"/>
      <c r="I88" s="840"/>
      <c r="J88" s="641"/>
      <c r="K88" s="639"/>
      <c r="L88" s="640"/>
      <c r="M88" s="640"/>
      <c r="N88" s="639"/>
      <c r="O88" s="841"/>
      <c r="P88" s="841"/>
      <c r="Q88" s="642"/>
    </row>
    <row r="89" spans="1:17" s="382" customFormat="1" ht="15.75" thickBot="1">
      <c r="A89" s="645"/>
      <c r="B89" s="355"/>
      <c r="C89" s="355"/>
      <c r="D89" s="355"/>
      <c r="E89" s="355"/>
      <c r="F89" s="356"/>
      <c r="G89" s="576"/>
      <c r="H89" s="358"/>
      <c r="I89" s="358"/>
      <c r="J89" s="358"/>
      <c r="K89" s="358"/>
      <c r="L89" s="359"/>
      <c r="M89" s="359"/>
      <c r="N89" s="358"/>
      <c r="O89" s="715"/>
      <c r="P89" s="715"/>
      <c r="Q89" s="643"/>
    </row>
    <row r="90" spans="1:17" s="382" customFormat="1" ht="60" customHeight="1">
      <c r="A90" s="1538" t="s">
        <v>632</v>
      </c>
      <c r="B90" s="1538" t="s">
        <v>676</v>
      </c>
      <c r="C90" s="1538" t="s">
        <v>610</v>
      </c>
      <c r="D90" s="1538" t="s">
        <v>611</v>
      </c>
      <c r="E90" s="1538" t="s">
        <v>1453</v>
      </c>
      <c r="F90" s="1472" t="s">
        <v>159</v>
      </c>
      <c r="G90" s="1509" t="s">
        <v>110</v>
      </c>
      <c r="H90" s="1477" t="s">
        <v>316</v>
      </c>
      <c r="I90" s="1472" t="s">
        <v>315</v>
      </c>
      <c r="J90" s="1472" t="s">
        <v>317</v>
      </c>
      <c r="K90" s="1472" t="s">
        <v>318</v>
      </c>
      <c r="L90" s="569" t="s">
        <v>1443</v>
      </c>
      <c r="M90" s="569" t="s">
        <v>1444</v>
      </c>
      <c r="N90" s="709" t="s">
        <v>1445</v>
      </c>
      <c r="O90" s="1477" t="s">
        <v>1673</v>
      </c>
      <c r="P90" s="1477" t="s">
        <v>1307</v>
      </c>
      <c r="Q90" s="1495" t="s">
        <v>1454</v>
      </c>
    </row>
    <row r="91" spans="1:17" s="382" customFormat="1" ht="15.75" thickBot="1">
      <c r="A91" s="1539"/>
      <c r="B91" s="1539"/>
      <c r="C91" s="1539"/>
      <c r="D91" s="1539"/>
      <c r="E91" s="1539"/>
      <c r="F91" s="1473"/>
      <c r="G91" s="1510"/>
      <c r="H91" s="1478"/>
      <c r="I91" s="1473"/>
      <c r="J91" s="1473"/>
      <c r="K91" s="1473"/>
      <c r="L91" s="570" t="s">
        <v>805</v>
      </c>
      <c r="M91" s="570" t="s">
        <v>805</v>
      </c>
      <c r="N91" s="710" t="s">
        <v>1149</v>
      </c>
      <c r="O91" s="1478"/>
      <c r="P91" s="1478"/>
      <c r="Q91" s="1496"/>
    </row>
    <row r="92" spans="1:17" s="382" customFormat="1" ht="30">
      <c r="A92" s="1702" t="s">
        <v>716</v>
      </c>
      <c r="B92" s="1702" t="s">
        <v>612</v>
      </c>
      <c r="C92" s="1599" t="s">
        <v>1194</v>
      </c>
      <c r="D92" s="1505">
        <f>241+602+254+235</f>
        <v>1332</v>
      </c>
      <c r="E92" s="1704" t="s">
        <v>1451</v>
      </c>
      <c r="F92" s="1466" t="s">
        <v>320</v>
      </c>
      <c r="G92" s="412" t="s">
        <v>968</v>
      </c>
      <c r="H92" s="422" t="s">
        <v>160</v>
      </c>
      <c r="I92" s="713">
        <v>800</v>
      </c>
      <c r="J92" s="713">
        <f>'preturi unitare'!H22</f>
        <v>64</v>
      </c>
      <c r="K92" s="713">
        <f t="shared" ref="K92:K105" si="6">I92*J92</f>
        <v>51200</v>
      </c>
      <c r="L92" s="411">
        <f t="shared" ref="L92:L105" si="7">K92</f>
        <v>51200</v>
      </c>
      <c r="M92" s="411">
        <v>0</v>
      </c>
      <c r="N92" s="713">
        <v>0</v>
      </c>
      <c r="O92" s="1484">
        <f>SUM(L92:L105)</f>
        <v>1935700</v>
      </c>
      <c r="P92" s="1484">
        <f>O92/D92</f>
        <v>1453.2282282282283</v>
      </c>
      <c r="Q92" s="1572" t="s">
        <v>1566</v>
      </c>
    </row>
    <row r="93" spans="1:17" s="382" customFormat="1" ht="30">
      <c r="A93" s="1653"/>
      <c r="B93" s="1653"/>
      <c r="C93" s="1567"/>
      <c r="D93" s="1514"/>
      <c r="E93" s="1504"/>
      <c r="F93" s="1468"/>
      <c r="G93" s="329" t="s">
        <v>969</v>
      </c>
      <c r="H93" s="653" t="s">
        <v>160</v>
      </c>
      <c r="I93" s="714">
        <v>1200</v>
      </c>
      <c r="J93" s="714">
        <f>'preturi unitare'!H23</f>
        <v>68</v>
      </c>
      <c r="K93" s="714">
        <f t="shared" si="6"/>
        <v>81600</v>
      </c>
      <c r="L93" s="334">
        <f t="shared" si="7"/>
        <v>81600</v>
      </c>
      <c r="M93" s="334">
        <v>0</v>
      </c>
      <c r="N93" s="714">
        <v>0</v>
      </c>
      <c r="O93" s="1483"/>
      <c r="P93" s="1483"/>
      <c r="Q93" s="1636"/>
    </row>
    <row r="94" spans="1:17" s="382" customFormat="1" ht="30">
      <c r="A94" s="1653"/>
      <c r="B94" s="1653"/>
      <c r="C94" s="1567"/>
      <c r="D94" s="1514"/>
      <c r="E94" s="1504"/>
      <c r="F94" s="1000" t="s">
        <v>321</v>
      </c>
      <c r="G94" s="329" t="s">
        <v>970</v>
      </c>
      <c r="H94" s="368" t="s">
        <v>280</v>
      </c>
      <c r="I94" s="714">
        <v>1</v>
      </c>
      <c r="J94" s="714">
        <f>'preturi unitare'!H5</f>
        <v>70000</v>
      </c>
      <c r="K94" s="714">
        <f t="shared" si="6"/>
        <v>70000</v>
      </c>
      <c r="L94" s="334">
        <f t="shared" si="7"/>
        <v>70000</v>
      </c>
      <c r="M94" s="334">
        <v>0</v>
      </c>
      <c r="N94" s="714">
        <v>0</v>
      </c>
      <c r="O94" s="1483"/>
      <c r="P94" s="1483"/>
      <c r="Q94" s="1636"/>
    </row>
    <row r="95" spans="1:17" s="382" customFormat="1" ht="30">
      <c r="A95" s="1653"/>
      <c r="B95" s="1653"/>
      <c r="C95" s="1567"/>
      <c r="D95" s="1514"/>
      <c r="E95" s="1504"/>
      <c r="F95" s="1000" t="s">
        <v>322</v>
      </c>
      <c r="G95" s="362" t="s">
        <v>971</v>
      </c>
      <c r="H95" s="368" t="s">
        <v>160</v>
      </c>
      <c r="I95" s="714">
        <v>3000</v>
      </c>
      <c r="J95" s="714">
        <f>J92</f>
        <v>64</v>
      </c>
      <c r="K95" s="714">
        <f t="shared" si="6"/>
        <v>192000</v>
      </c>
      <c r="L95" s="610">
        <f t="shared" si="7"/>
        <v>192000</v>
      </c>
      <c r="M95" s="334">
        <v>0</v>
      </c>
      <c r="N95" s="714">
        <v>0</v>
      </c>
      <c r="O95" s="1483"/>
      <c r="P95" s="1483"/>
      <c r="Q95" s="1636"/>
    </row>
    <row r="96" spans="1:17" s="382" customFormat="1" ht="47.25">
      <c r="A96" s="1653"/>
      <c r="B96" s="1653"/>
      <c r="C96" s="1567"/>
      <c r="D96" s="1514"/>
      <c r="E96" s="1504"/>
      <c r="F96" s="1000" t="s">
        <v>279</v>
      </c>
      <c r="G96" s="329" t="s">
        <v>1870</v>
      </c>
      <c r="H96" s="653" t="s">
        <v>280</v>
      </c>
      <c r="I96" s="714">
        <v>1</v>
      </c>
      <c r="J96" s="714">
        <f>'preturi unitare'!E23+'preturi unitare'!E6</f>
        <v>51500</v>
      </c>
      <c r="K96" s="714">
        <f t="shared" si="6"/>
        <v>51500</v>
      </c>
      <c r="L96" s="334">
        <f t="shared" si="7"/>
        <v>51500</v>
      </c>
      <c r="M96" s="334">
        <v>0</v>
      </c>
      <c r="N96" s="714">
        <v>0</v>
      </c>
      <c r="O96" s="1483"/>
      <c r="P96" s="1483"/>
      <c r="Q96" s="1636"/>
    </row>
    <row r="97" spans="1:19" s="382" customFormat="1" ht="30">
      <c r="A97" s="1653"/>
      <c r="B97" s="1653"/>
      <c r="C97" s="1567"/>
      <c r="D97" s="1514"/>
      <c r="E97" s="1504"/>
      <c r="F97" s="1687" t="s">
        <v>320</v>
      </c>
      <c r="G97" s="329" t="s">
        <v>972</v>
      </c>
      <c r="H97" s="653" t="s">
        <v>160</v>
      </c>
      <c r="I97" s="714">
        <v>3600</v>
      </c>
      <c r="J97" s="714">
        <f>'preturi unitare'!H23</f>
        <v>68</v>
      </c>
      <c r="K97" s="714">
        <f t="shared" si="6"/>
        <v>244800</v>
      </c>
      <c r="L97" s="334">
        <f t="shared" si="7"/>
        <v>244800</v>
      </c>
      <c r="M97" s="334">
        <v>0</v>
      </c>
      <c r="N97" s="714">
        <v>0</v>
      </c>
      <c r="O97" s="1483"/>
      <c r="P97" s="1483"/>
      <c r="Q97" s="1636"/>
    </row>
    <row r="98" spans="1:19" s="382" customFormat="1" ht="30">
      <c r="A98" s="1653"/>
      <c r="B98" s="1653"/>
      <c r="C98" s="1567"/>
      <c r="D98" s="1514"/>
      <c r="E98" s="1504"/>
      <c r="F98" s="1468"/>
      <c r="G98" s="329" t="s">
        <v>973</v>
      </c>
      <c r="H98" s="653" t="s">
        <v>160</v>
      </c>
      <c r="I98" s="714">
        <v>500</v>
      </c>
      <c r="J98" s="714">
        <f>J93</f>
        <v>68</v>
      </c>
      <c r="K98" s="714">
        <f t="shared" si="6"/>
        <v>34000</v>
      </c>
      <c r="L98" s="334">
        <f t="shared" si="7"/>
        <v>34000</v>
      </c>
      <c r="M98" s="334">
        <v>0</v>
      </c>
      <c r="N98" s="714">
        <v>0</v>
      </c>
      <c r="O98" s="1483"/>
      <c r="P98" s="1483"/>
      <c r="Q98" s="1636"/>
    </row>
    <row r="99" spans="1:19" s="382" customFormat="1" ht="30">
      <c r="A99" s="1653"/>
      <c r="B99" s="1653"/>
      <c r="C99" s="1567"/>
      <c r="D99" s="1514"/>
      <c r="E99" s="1504"/>
      <c r="F99" s="1000" t="s">
        <v>322</v>
      </c>
      <c r="G99" s="362" t="s">
        <v>974</v>
      </c>
      <c r="H99" s="368" t="s">
        <v>160</v>
      </c>
      <c r="I99" s="714">
        <v>6200</v>
      </c>
      <c r="J99" s="714">
        <f>J97</f>
        <v>68</v>
      </c>
      <c r="K99" s="714">
        <f t="shared" si="6"/>
        <v>421600</v>
      </c>
      <c r="L99" s="334">
        <f t="shared" si="7"/>
        <v>421600</v>
      </c>
      <c r="M99" s="334">
        <v>0</v>
      </c>
      <c r="N99" s="714">
        <v>0</v>
      </c>
      <c r="O99" s="1483"/>
      <c r="P99" s="1483"/>
      <c r="Q99" s="1636"/>
    </row>
    <row r="100" spans="1:19" s="382" customFormat="1" ht="47.25">
      <c r="A100" s="1653"/>
      <c r="B100" s="1653"/>
      <c r="C100" s="1567"/>
      <c r="D100" s="1514"/>
      <c r="E100" s="1504"/>
      <c r="F100" s="1000" t="s">
        <v>279</v>
      </c>
      <c r="G100" s="329" t="s">
        <v>975</v>
      </c>
      <c r="H100" s="653" t="s">
        <v>280</v>
      </c>
      <c r="I100" s="714">
        <v>1</v>
      </c>
      <c r="J100" s="714">
        <v>66500</v>
      </c>
      <c r="K100" s="714">
        <f t="shared" si="6"/>
        <v>66500</v>
      </c>
      <c r="L100" s="334">
        <f t="shared" si="7"/>
        <v>66500</v>
      </c>
      <c r="M100" s="334">
        <v>0</v>
      </c>
      <c r="N100" s="714">
        <v>0</v>
      </c>
      <c r="O100" s="1483"/>
      <c r="P100" s="1483"/>
      <c r="Q100" s="1636"/>
    </row>
    <row r="101" spans="1:19" s="382" customFormat="1" ht="45">
      <c r="A101" s="1653"/>
      <c r="B101" s="1653"/>
      <c r="C101" s="1567"/>
      <c r="D101" s="1514"/>
      <c r="E101" s="1504"/>
      <c r="F101" s="1000" t="s">
        <v>320</v>
      </c>
      <c r="G101" s="329" t="s">
        <v>580</v>
      </c>
      <c r="H101" s="653" t="s">
        <v>160</v>
      </c>
      <c r="I101" s="714">
        <v>2500</v>
      </c>
      <c r="J101" s="714">
        <f>J98</f>
        <v>68</v>
      </c>
      <c r="K101" s="714">
        <f t="shared" si="6"/>
        <v>170000</v>
      </c>
      <c r="L101" s="334">
        <f t="shared" si="7"/>
        <v>170000</v>
      </c>
      <c r="M101" s="334">
        <v>0</v>
      </c>
      <c r="N101" s="714">
        <v>0</v>
      </c>
      <c r="O101" s="1483"/>
      <c r="P101" s="1483"/>
      <c r="Q101" s="1636"/>
    </row>
    <row r="102" spans="1:19" s="382" customFormat="1" ht="30">
      <c r="A102" s="1653"/>
      <c r="B102" s="1653"/>
      <c r="C102" s="1567"/>
      <c r="D102" s="1514"/>
      <c r="E102" s="1504"/>
      <c r="F102" s="1000" t="s">
        <v>321</v>
      </c>
      <c r="G102" s="329" t="s">
        <v>976</v>
      </c>
      <c r="H102" s="368" t="s">
        <v>280</v>
      </c>
      <c r="I102" s="714">
        <v>1</v>
      </c>
      <c r="J102" s="714">
        <f>'preturi unitare'!H5</f>
        <v>70000</v>
      </c>
      <c r="K102" s="714">
        <f t="shared" si="6"/>
        <v>70000</v>
      </c>
      <c r="L102" s="334">
        <f t="shared" si="7"/>
        <v>70000</v>
      </c>
      <c r="M102" s="334">
        <v>0</v>
      </c>
      <c r="N102" s="714"/>
      <c r="O102" s="1483"/>
      <c r="P102" s="1483"/>
      <c r="Q102" s="1636"/>
    </row>
    <row r="103" spans="1:19" s="382" customFormat="1" ht="30">
      <c r="A103" s="1653"/>
      <c r="B103" s="1653"/>
      <c r="C103" s="1567"/>
      <c r="D103" s="1514"/>
      <c r="E103" s="1504"/>
      <c r="F103" s="1600" t="s">
        <v>322</v>
      </c>
      <c r="G103" s="362" t="s">
        <v>977</v>
      </c>
      <c r="H103" s="368" t="s">
        <v>160</v>
      </c>
      <c r="I103" s="714">
        <v>3500</v>
      </c>
      <c r="J103" s="714">
        <f>J95</f>
        <v>64</v>
      </c>
      <c r="K103" s="714">
        <f t="shared" si="6"/>
        <v>224000</v>
      </c>
      <c r="L103" s="334">
        <f t="shared" si="7"/>
        <v>224000</v>
      </c>
      <c r="M103" s="334">
        <v>0</v>
      </c>
      <c r="N103" s="714">
        <v>0</v>
      </c>
      <c r="O103" s="1483"/>
      <c r="P103" s="1483"/>
      <c r="Q103" s="1636"/>
    </row>
    <row r="104" spans="1:19" s="382" customFormat="1" ht="30">
      <c r="A104" s="1653"/>
      <c r="B104" s="1653"/>
      <c r="C104" s="1567"/>
      <c r="D104" s="1514"/>
      <c r="E104" s="1504"/>
      <c r="F104" s="1600"/>
      <c r="G104" s="362" t="s">
        <v>978</v>
      </c>
      <c r="H104" s="653" t="s">
        <v>160</v>
      </c>
      <c r="I104" s="714">
        <v>3000</v>
      </c>
      <c r="J104" s="714">
        <f>J95</f>
        <v>64</v>
      </c>
      <c r="K104" s="714">
        <f t="shared" si="6"/>
        <v>192000</v>
      </c>
      <c r="L104" s="334">
        <f t="shared" si="7"/>
        <v>192000</v>
      </c>
      <c r="M104" s="334">
        <v>0</v>
      </c>
      <c r="N104" s="714">
        <v>0</v>
      </c>
      <c r="O104" s="1483"/>
      <c r="P104" s="1483"/>
      <c r="Q104" s="1636"/>
    </row>
    <row r="105" spans="1:19" s="382" customFormat="1" ht="47.25">
      <c r="A105" s="1653"/>
      <c r="B105" s="1653"/>
      <c r="C105" s="1567"/>
      <c r="D105" s="1514"/>
      <c r="E105" s="1505"/>
      <c r="F105" s="1000" t="s">
        <v>279</v>
      </c>
      <c r="G105" s="329" t="s">
        <v>979</v>
      </c>
      <c r="H105" s="653" t="s">
        <v>280</v>
      </c>
      <c r="I105" s="714">
        <v>1</v>
      </c>
      <c r="J105" s="714">
        <f>J100</f>
        <v>66500</v>
      </c>
      <c r="K105" s="714">
        <f t="shared" si="6"/>
        <v>66500</v>
      </c>
      <c r="L105" s="334">
        <f t="shared" si="7"/>
        <v>66500</v>
      </c>
      <c r="M105" s="334">
        <v>0</v>
      </c>
      <c r="N105" s="714">
        <v>0</v>
      </c>
      <c r="O105" s="1483"/>
      <c r="P105" s="1483"/>
      <c r="Q105" s="1637"/>
    </row>
    <row r="106" spans="1:19" s="382" customFormat="1">
      <c r="A106" s="820"/>
      <c r="B106" s="326"/>
      <c r="C106" s="326"/>
      <c r="D106" s="326"/>
      <c r="E106" s="326"/>
      <c r="F106" s="326"/>
      <c r="G106" s="326"/>
      <c r="H106" s="326"/>
      <c r="I106" s="714"/>
      <c r="J106" s="714"/>
      <c r="K106" s="714"/>
      <c r="L106" s="334"/>
      <c r="M106" s="334"/>
      <c r="N106" s="326"/>
      <c r="O106" s="714"/>
      <c r="P106" s="714"/>
      <c r="Q106" s="587"/>
    </row>
    <row r="107" spans="1:19" s="382" customFormat="1">
      <c r="A107" s="1529" t="s">
        <v>607</v>
      </c>
      <c r="B107" s="1530"/>
      <c r="C107" s="1530"/>
      <c r="D107" s="1530"/>
      <c r="E107" s="1530"/>
      <c r="F107" s="1530"/>
      <c r="G107" s="1531"/>
      <c r="H107" s="793"/>
      <c r="I107" s="714"/>
      <c r="J107" s="714"/>
      <c r="K107" s="364">
        <f>SUM(K92:K105)</f>
        <v>1935700</v>
      </c>
      <c r="L107" s="365">
        <f>SUM(L92:L105)</f>
        <v>1935700</v>
      </c>
      <c r="M107" s="365">
        <f>SUM(M92:M105)</f>
        <v>0</v>
      </c>
      <c r="N107" s="364">
        <f>SUM(N92:N105)</f>
        <v>0</v>
      </c>
      <c r="O107" s="714"/>
      <c r="P107" s="714"/>
      <c r="Q107" s="587"/>
      <c r="S107" s="629"/>
    </row>
    <row r="108" spans="1:19" s="382" customFormat="1" ht="15.75" thickBot="1">
      <c r="A108" s="833"/>
      <c r="B108" s="421"/>
      <c r="C108" s="421"/>
      <c r="D108" s="421"/>
      <c r="E108" s="421"/>
      <c r="F108" s="711"/>
      <c r="G108" s="848"/>
      <c r="H108" s="732"/>
      <c r="I108" s="732"/>
      <c r="J108" s="732"/>
      <c r="K108" s="732"/>
      <c r="L108" s="426"/>
      <c r="M108" s="426"/>
      <c r="N108" s="418"/>
      <c r="O108" s="715"/>
      <c r="P108" s="715"/>
      <c r="Q108" s="643"/>
    </row>
    <row r="109" spans="1:19" s="382" customFormat="1" ht="60" customHeight="1">
      <c r="A109" s="1608" t="s">
        <v>1452</v>
      </c>
      <c r="B109" s="1608" t="s">
        <v>617</v>
      </c>
      <c r="C109" s="1538" t="s">
        <v>610</v>
      </c>
      <c r="D109" s="1538" t="s">
        <v>611</v>
      </c>
      <c r="E109" s="1538" t="s">
        <v>1453</v>
      </c>
      <c r="F109" s="1472" t="s">
        <v>159</v>
      </c>
      <c r="G109" s="1509" t="s">
        <v>110</v>
      </c>
      <c r="H109" s="1477" t="s">
        <v>316</v>
      </c>
      <c r="I109" s="1472" t="s">
        <v>315</v>
      </c>
      <c r="J109" s="1472" t="s">
        <v>317</v>
      </c>
      <c r="K109" s="1472" t="s">
        <v>318</v>
      </c>
      <c r="L109" s="569" t="s">
        <v>1443</v>
      </c>
      <c r="M109" s="569" t="s">
        <v>1444</v>
      </c>
      <c r="N109" s="709" t="s">
        <v>1445</v>
      </c>
      <c r="O109" s="1477" t="s">
        <v>1673</v>
      </c>
      <c r="P109" s="1477" t="s">
        <v>1307</v>
      </c>
      <c r="Q109" s="1495" t="s">
        <v>1454</v>
      </c>
    </row>
    <row r="110" spans="1:19" s="382" customFormat="1" ht="15.75" thickBot="1">
      <c r="A110" s="1609"/>
      <c r="B110" s="1609"/>
      <c r="C110" s="1539"/>
      <c r="D110" s="1539"/>
      <c r="E110" s="1539"/>
      <c r="F110" s="1473"/>
      <c r="G110" s="1510"/>
      <c r="H110" s="1478"/>
      <c r="I110" s="1473"/>
      <c r="J110" s="1473"/>
      <c r="K110" s="1473"/>
      <c r="L110" s="570" t="s">
        <v>805</v>
      </c>
      <c r="M110" s="570" t="s">
        <v>805</v>
      </c>
      <c r="N110" s="710" t="s">
        <v>1149</v>
      </c>
      <c r="O110" s="1478"/>
      <c r="P110" s="1478"/>
      <c r="Q110" s="1496"/>
    </row>
    <row r="111" spans="1:19" s="382" customFormat="1" ht="30" customHeight="1">
      <c r="A111" s="1612" t="s">
        <v>716</v>
      </c>
      <c r="B111" s="1611" t="s">
        <v>1451</v>
      </c>
      <c r="C111" s="1612" t="s">
        <v>716</v>
      </c>
      <c r="D111" s="1505" t="s">
        <v>800</v>
      </c>
      <c r="E111" s="1503" t="str">
        <f>D111</f>
        <v>728</v>
      </c>
      <c r="F111" s="731" t="s">
        <v>323</v>
      </c>
      <c r="G111" s="849" t="s">
        <v>980</v>
      </c>
      <c r="H111" s="749" t="s">
        <v>280</v>
      </c>
      <c r="I111" s="737">
        <v>1</v>
      </c>
      <c r="J111" s="737">
        <f>'preturi unitare'!O27</f>
        <v>106500</v>
      </c>
      <c r="K111" s="737">
        <f>J111*I111</f>
        <v>106500</v>
      </c>
      <c r="L111" s="835">
        <v>0</v>
      </c>
      <c r="M111" s="835">
        <f>K111</f>
        <v>106500</v>
      </c>
      <c r="N111" s="737">
        <v>0</v>
      </c>
      <c r="O111" s="1512">
        <f>SUM(M111:M112)</f>
        <v>1215300</v>
      </c>
      <c r="P111" s="1512">
        <f>O111/D111</f>
        <v>1669.368131868132</v>
      </c>
      <c r="Q111" s="1582" t="s">
        <v>1567</v>
      </c>
    </row>
    <row r="112" spans="1:19" s="382" customFormat="1" ht="30">
      <c r="A112" s="1701"/>
      <c r="B112" s="1612"/>
      <c r="C112" s="1701"/>
      <c r="D112" s="1514"/>
      <c r="E112" s="1505"/>
      <c r="F112" s="721" t="s">
        <v>325</v>
      </c>
      <c r="G112" s="438" t="s">
        <v>981</v>
      </c>
      <c r="H112" s="719" t="s">
        <v>160</v>
      </c>
      <c r="I112" s="717">
        <v>7200</v>
      </c>
      <c r="J112" s="717">
        <f>'preturi unitare'!H40</f>
        <v>154</v>
      </c>
      <c r="K112" s="717">
        <f>I112*J112</f>
        <v>1108800</v>
      </c>
      <c r="L112" s="401">
        <v>0</v>
      </c>
      <c r="M112" s="835">
        <f t="shared" ref="M112:M119" si="8">K112</f>
        <v>1108800</v>
      </c>
      <c r="N112" s="1285">
        <v>0</v>
      </c>
      <c r="O112" s="1515"/>
      <c r="P112" s="1515"/>
      <c r="Q112" s="1641"/>
    </row>
    <row r="113" spans="1:17" s="382" customFormat="1" ht="30">
      <c r="A113" s="1701"/>
      <c r="B113" s="1625" t="s">
        <v>1451</v>
      </c>
      <c r="C113" s="1701" t="s">
        <v>801</v>
      </c>
      <c r="D113" s="1514" t="s">
        <v>802</v>
      </c>
      <c r="E113" s="1513" t="str">
        <f>D113</f>
        <v>729</v>
      </c>
      <c r="F113" s="721" t="s">
        <v>323</v>
      </c>
      <c r="G113" s="664" t="s">
        <v>982</v>
      </c>
      <c r="H113" s="719" t="s">
        <v>280</v>
      </c>
      <c r="I113" s="717">
        <v>1</v>
      </c>
      <c r="J113" s="717">
        <f>J111</f>
        <v>106500</v>
      </c>
      <c r="K113" s="717">
        <f t="shared" ref="K113:K119" si="9">J113*I113</f>
        <v>106500</v>
      </c>
      <c r="L113" s="401">
        <v>0</v>
      </c>
      <c r="M113" s="835">
        <f t="shared" si="8"/>
        <v>106500</v>
      </c>
      <c r="N113" s="1285">
        <v>0</v>
      </c>
      <c r="O113" s="1515">
        <f>SUM(M113:M114)</f>
        <v>1061300</v>
      </c>
      <c r="P113" s="1515">
        <f>O113/D113</f>
        <v>1455.829903978052</v>
      </c>
      <c r="Q113" s="1641" t="s">
        <v>1568</v>
      </c>
    </row>
    <row r="114" spans="1:17" s="382" customFormat="1" ht="30">
      <c r="A114" s="1701"/>
      <c r="B114" s="1612"/>
      <c r="C114" s="1701"/>
      <c r="D114" s="1514"/>
      <c r="E114" s="1505"/>
      <c r="F114" s="721" t="s">
        <v>325</v>
      </c>
      <c r="G114" s="664" t="s">
        <v>983</v>
      </c>
      <c r="H114" s="719" t="s">
        <v>160</v>
      </c>
      <c r="I114" s="717">
        <v>6200</v>
      </c>
      <c r="J114" s="717">
        <f>J112</f>
        <v>154</v>
      </c>
      <c r="K114" s="717">
        <f t="shared" si="9"/>
        <v>954800</v>
      </c>
      <c r="L114" s="401">
        <v>0</v>
      </c>
      <c r="M114" s="835">
        <f t="shared" si="8"/>
        <v>954800</v>
      </c>
      <c r="N114" s="1285">
        <v>0</v>
      </c>
      <c r="O114" s="1515"/>
      <c r="P114" s="1515"/>
      <c r="Q114" s="1641"/>
    </row>
    <row r="115" spans="1:17" s="382" customFormat="1" ht="31.5" customHeight="1">
      <c r="A115" s="1701"/>
      <c r="B115" s="718" t="s">
        <v>1451</v>
      </c>
      <c r="C115" s="727" t="s">
        <v>717</v>
      </c>
      <c r="D115" s="717" t="s">
        <v>803</v>
      </c>
      <c r="E115" s="717" t="str">
        <f>D115</f>
        <v>241</v>
      </c>
      <c r="F115" s="721" t="s">
        <v>323</v>
      </c>
      <c r="G115" s="664" t="s">
        <v>1310</v>
      </c>
      <c r="H115" s="994" t="s">
        <v>1322</v>
      </c>
      <c r="I115" s="717">
        <v>1</v>
      </c>
      <c r="J115" s="717">
        <f>'preturi unitare'!N4</f>
        <v>70000</v>
      </c>
      <c r="K115" s="717">
        <f t="shared" si="9"/>
        <v>70000</v>
      </c>
      <c r="L115" s="401">
        <v>0</v>
      </c>
      <c r="M115" s="835">
        <f>K115</f>
        <v>70000</v>
      </c>
      <c r="N115" s="1285">
        <v>0</v>
      </c>
      <c r="O115" s="719">
        <f>K115</f>
        <v>70000</v>
      </c>
      <c r="P115" s="719">
        <f>O115/D115</f>
        <v>290.4564315352697</v>
      </c>
      <c r="Q115" s="978" t="s">
        <v>1569</v>
      </c>
    </row>
    <row r="116" spans="1:17" s="382" customFormat="1" ht="30">
      <c r="A116" s="1701"/>
      <c r="B116" s="1625" t="s">
        <v>1451</v>
      </c>
      <c r="C116" s="1701" t="s">
        <v>718</v>
      </c>
      <c r="D116" s="1514" t="s">
        <v>804</v>
      </c>
      <c r="E116" s="1513" t="str">
        <f>D116</f>
        <v>602</v>
      </c>
      <c r="F116" s="721" t="s">
        <v>323</v>
      </c>
      <c r="G116" s="664" t="s">
        <v>984</v>
      </c>
      <c r="H116" s="719" t="s">
        <v>280</v>
      </c>
      <c r="I116" s="717">
        <v>1</v>
      </c>
      <c r="J116" s="717">
        <f>J111</f>
        <v>106500</v>
      </c>
      <c r="K116" s="717">
        <f t="shared" si="9"/>
        <v>106500</v>
      </c>
      <c r="L116" s="401">
        <v>0</v>
      </c>
      <c r="M116" s="835">
        <f t="shared" si="8"/>
        <v>106500</v>
      </c>
      <c r="N116" s="1285">
        <v>0</v>
      </c>
      <c r="O116" s="1515">
        <f>SUM(M116:M117)</f>
        <v>1061300</v>
      </c>
      <c r="P116" s="1515">
        <f>O116/D116</f>
        <v>1762.9568106312292</v>
      </c>
      <c r="Q116" s="1641" t="s">
        <v>1570</v>
      </c>
    </row>
    <row r="117" spans="1:17" s="382" customFormat="1" ht="30">
      <c r="A117" s="1701"/>
      <c r="B117" s="1612"/>
      <c r="C117" s="1701"/>
      <c r="D117" s="1514"/>
      <c r="E117" s="1505"/>
      <c r="F117" s="721" t="s">
        <v>325</v>
      </c>
      <c r="G117" s="664" t="s">
        <v>985</v>
      </c>
      <c r="H117" s="719" t="s">
        <v>160</v>
      </c>
      <c r="I117" s="717">
        <v>6200</v>
      </c>
      <c r="J117" s="717">
        <f>'preturi unitare'!H40</f>
        <v>154</v>
      </c>
      <c r="K117" s="717">
        <f t="shared" si="9"/>
        <v>954800</v>
      </c>
      <c r="L117" s="401">
        <v>0</v>
      </c>
      <c r="M117" s="835">
        <f t="shared" si="8"/>
        <v>954800</v>
      </c>
      <c r="N117" s="1285">
        <v>0</v>
      </c>
      <c r="O117" s="1515"/>
      <c r="P117" s="1515"/>
      <c r="Q117" s="1641"/>
    </row>
    <row r="118" spans="1:17" s="382" customFormat="1" ht="30">
      <c r="A118" s="1701"/>
      <c r="B118" s="1625" t="s">
        <v>1451</v>
      </c>
      <c r="C118" s="1701" t="s">
        <v>719</v>
      </c>
      <c r="D118" s="1514">
        <f>254+235</f>
        <v>489</v>
      </c>
      <c r="E118" s="1513">
        <f>D118</f>
        <v>489</v>
      </c>
      <c r="F118" s="721" t="s">
        <v>323</v>
      </c>
      <c r="G118" s="664" t="s">
        <v>986</v>
      </c>
      <c r="H118" s="719" t="s">
        <v>280</v>
      </c>
      <c r="I118" s="717">
        <v>1</v>
      </c>
      <c r="J118" s="717">
        <f>'preturi unitare'!O26</f>
        <v>94000</v>
      </c>
      <c r="K118" s="717">
        <f t="shared" si="9"/>
        <v>94000</v>
      </c>
      <c r="L118" s="401">
        <v>0</v>
      </c>
      <c r="M118" s="835">
        <f t="shared" si="8"/>
        <v>94000</v>
      </c>
      <c r="N118" s="1285">
        <v>0</v>
      </c>
      <c r="O118" s="1515">
        <f>SUM(K118:K119)</f>
        <v>971800</v>
      </c>
      <c r="P118" s="1515">
        <f>O118/D118</f>
        <v>1987.3210633946831</v>
      </c>
      <c r="Q118" s="1641" t="s">
        <v>1571</v>
      </c>
    </row>
    <row r="119" spans="1:17" s="382" customFormat="1" ht="30">
      <c r="A119" s="1701"/>
      <c r="B119" s="1612"/>
      <c r="C119" s="1701"/>
      <c r="D119" s="1514"/>
      <c r="E119" s="1505"/>
      <c r="F119" s="721" t="s">
        <v>325</v>
      </c>
      <c r="G119" s="664" t="s">
        <v>987</v>
      </c>
      <c r="H119" s="719" t="s">
        <v>160</v>
      </c>
      <c r="I119" s="717">
        <v>5700</v>
      </c>
      <c r="J119" s="717">
        <f>J117</f>
        <v>154</v>
      </c>
      <c r="K119" s="717">
        <f t="shared" si="9"/>
        <v>877800</v>
      </c>
      <c r="L119" s="401">
        <v>0</v>
      </c>
      <c r="M119" s="835">
        <f t="shared" si="8"/>
        <v>877800</v>
      </c>
      <c r="N119" s="1285">
        <v>0</v>
      </c>
      <c r="O119" s="1515"/>
      <c r="P119" s="1515"/>
      <c r="Q119" s="1641"/>
    </row>
    <row r="120" spans="1:17" s="382" customFormat="1">
      <c r="A120" s="820"/>
      <c r="B120" s="660"/>
      <c r="C120" s="660"/>
      <c r="D120" s="660"/>
      <c r="E120" s="660"/>
      <c r="F120" s="721"/>
      <c r="G120" s="661"/>
      <c r="H120" s="714"/>
      <c r="I120" s="714"/>
      <c r="J120" s="714"/>
      <c r="K120" s="714"/>
      <c r="L120" s="334"/>
      <c r="M120" s="334"/>
      <c r="N120" s="385"/>
      <c r="O120" s="714"/>
      <c r="P120" s="714"/>
      <c r="Q120" s="587"/>
    </row>
    <row r="121" spans="1:17" s="382" customFormat="1">
      <c r="A121" s="1532" t="s">
        <v>406</v>
      </c>
      <c r="B121" s="1533"/>
      <c r="C121" s="1533"/>
      <c r="D121" s="1533"/>
      <c r="E121" s="1533"/>
      <c r="F121" s="1533"/>
      <c r="G121" s="1534"/>
      <c r="H121" s="364"/>
      <c r="I121" s="364"/>
      <c r="J121" s="364"/>
      <c r="K121" s="364">
        <f>SUM(K111:K119)</f>
        <v>4379700</v>
      </c>
      <c r="L121" s="365">
        <f>SUM(L111:L119)</f>
        <v>0</v>
      </c>
      <c r="M121" s="365">
        <f>SUM(M111:M119)</f>
        <v>4379700</v>
      </c>
      <c r="N121" s="364">
        <f>SUM(N111:N119)</f>
        <v>0</v>
      </c>
      <c r="O121" s="714"/>
      <c r="P121" s="714"/>
      <c r="Q121" s="587"/>
    </row>
    <row r="122" spans="1:17" s="382" customFormat="1">
      <c r="A122" s="820"/>
      <c r="B122" s="660"/>
      <c r="C122" s="660"/>
      <c r="D122" s="660"/>
      <c r="E122" s="660"/>
      <c r="F122" s="721"/>
      <c r="G122" s="797"/>
      <c r="H122" s="714"/>
      <c r="I122" s="714"/>
      <c r="J122" s="714"/>
      <c r="K122" s="714"/>
      <c r="L122" s="334"/>
      <c r="M122" s="334"/>
      <c r="N122" s="714"/>
      <c r="O122" s="714"/>
      <c r="P122" s="714"/>
      <c r="Q122" s="587"/>
    </row>
    <row r="123" spans="1:17" s="382" customFormat="1" ht="15" customHeight="1" thickBot="1">
      <c r="A123" s="1474" t="s">
        <v>407</v>
      </c>
      <c r="B123" s="1475"/>
      <c r="C123" s="1475"/>
      <c r="D123" s="1475"/>
      <c r="E123" s="1475"/>
      <c r="F123" s="1475"/>
      <c r="G123" s="1476"/>
      <c r="H123" s="581"/>
      <c r="I123" s="581"/>
      <c r="J123" s="581"/>
      <c r="K123" s="582">
        <f>K107+K121</f>
        <v>6315400</v>
      </c>
      <c r="L123" s="583">
        <f>L107+L121</f>
        <v>1935700</v>
      </c>
      <c r="M123" s="583">
        <f>M107+M121</f>
        <v>4379700</v>
      </c>
      <c r="N123" s="582">
        <f>N107+N121</f>
        <v>0</v>
      </c>
      <c r="O123" s="581"/>
      <c r="P123" s="581"/>
      <c r="Q123" s="816"/>
    </row>
    <row r="124" spans="1:17" s="382" customFormat="1" ht="15.75" thickBot="1">
      <c r="B124" s="606"/>
      <c r="C124" s="606"/>
      <c r="D124" s="606"/>
      <c r="E124" s="606"/>
      <c r="F124" s="607"/>
      <c r="G124" s="576"/>
      <c r="H124" s="608"/>
      <c r="I124" s="608"/>
      <c r="J124" s="608"/>
      <c r="K124" s="608"/>
      <c r="L124" s="609"/>
      <c r="M124" s="609"/>
      <c r="N124" s="608"/>
      <c r="O124" s="586"/>
      <c r="P124" s="586"/>
      <c r="Q124" s="586"/>
    </row>
    <row r="125" spans="1:17" s="382" customFormat="1" ht="15.75" thickBot="1">
      <c r="A125" s="839"/>
      <c r="B125" s="850"/>
      <c r="C125" s="850"/>
      <c r="D125" s="850"/>
      <c r="E125" s="850"/>
      <c r="F125" s="846"/>
      <c r="G125" s="577" t="s">
        <v>1882</v>
      </c>
      <c r="H125" s="847"/>
      <c r="I125" s="840"/>
      <c r="J125" s="641"/>
      <c r="K125" s="638"/>
      <c r="L125" s="845"/>
      <c r="M125" s="845"/>
      <c r="N125" s="638"/>
      <c r="O125" s="641"/>
      <c r="P125" s="641"/>
      <c r="Q125" s="642"/>
    </row>
    <row r="126" spans="1:17" s="382" customFormat="1" ht="15.75" thickBot="1">
      <c r="A126" s="645"/>
      <c r="B126" s="662"/>
      <c r="C126" s="662"/>
      <c r="D126" s="662"/>
      <c r="E126" s="662"/>
      <c r="F126" s="356"/>
      <c r="G126" s="585"/>
      <c r="H126" s="428"/>
      <c r="I126" s="428"/>
      <c r="J126" s="428"/>
      <c r="K126" s="371"/>
      <c r="L126" s="372"/>
      <c r="M126" s="372"/>
      <c r="N126" s="371"/>
      <c r="O126" s="406"/>
      <c r="P126" s="406"/>
      <c r="Q126" s="643"/>
    </row>
    <row r="127" spans="1:17" s="382" customFormat="1" ht="60" customHeight="1">
      <c r="A127" s="1538" t="s">
        <v>632</v>
      </c>
      <c r="B127" s="1538" t="s">
        <v>676</v>
      </c>
      <c r="C127" s="1538" t="s">
        <v>610</v>
      </c>
      <c r="D127" s="1538" t="s">
        <v>611</v>
      </c>
      <c r="E127" s="1538" t="s">
        <v>1453</v>
      </c>
      <c r="F127" s="1472" t="s">
        <v>159</v>
      </c>
      <c r="G127" s="1509" t="s">
        <v>110</v>
      </c>
      <c r="H127" s="1477" t="s">
        <v>316</v>
      </c>
      <c r="I127" s="1472" t="s">
        <v>315</v>
      </c>
      <c r="J127" s="1472" t="s">
        <v>317</v>
      </c>
      <c r="K127" s="1472" t="s">
        <v>318</v>
      </c>
      <c r="L127" s="569" t="s">
        <v>1443</v>
      </c>
      <c r="M127" s="569" t="s">
        <v>1444</v>
      </c>
      <c r="N127" s="709" t="s">
        <v>1445</v>
      </c>
      <c r="O127" s="1477" t="s">
        <v>1673</v>
      </c>
      <c r="P127" s="1477" t="s">
        <v>1307</v>
      </c>
      <c r="Q127" s="1495" t="s">
        <v>1454</v>
      </c>
    </row>
    <row r="128" spans="1:17" s="382" customFormat="1" ht="15.75" thickBot="1">
      <c r="A128" s="1539"/>
      <c r="B128" s="1539"/>
      <c r="C128" s="1539"/>
      <c r="D128" s="1539"/>
      <c r="E128" s="1539"/>
      <c r="F128" s="1473"/>
      <c r="G128" s="1510"/>
      <c r="H128" s="1478"/>
      <c r="I128" s="1473"/>
      <c r="J128" s="1473"/>
      <c r="K128" s="1473"/>
      <c r="L128" s="570" t="s">
        <v>805</v>
      </c>
      <c r="M128" s="570" t="s">
        <v>805</v>
      </c>
      <c r="N128" s="710" t="s">
        <v>1149</v>
      </c>
      <c r="O128" s="1478"/>
      <c r="P128" s="1478"/>
      <c r="Q128" s="1496"/>
    </row>
    <row r="129" spans="1:19" s="382" customFormat="1" ht="30">
      <c r="A129" s="1706" t="s">
        <v>1460</v>
      </c>
      <c r="B129" s="1566" t="s">
        <v>612</v>
      </c>
      <c r="C129" s="745" t="s">
        <v>627</v>
      </c>
      <c r="D129" s="737">
        <v>2894</v>
      </c>
      <c r="E129" s="422" t="s">
        <v>1451</v>
      </c>
      <c r="F129" s="999" t="s">
        <v>330</v>
      </c>
      <c r="G129" s="402" t="s">
        <v>332</v>
      </c>
      <c r="H129" s="414" t="s">
        <v>160</v>
      </c>
      <c r="I129" s="713">
        <v>1200</v>
      </c>
      <c r="J129" s="713">
        <f>'preturi unitare'!H22</f>
        <v>64</v>
      </c>
      <c r="K129" s="713">
        <f t="shared" ref="K129:K140" si="10">I129*J129</f>
        <v>76800</v>
      </c>
      <c r="L129" s="411">
        <f t="shared" ref="L129:L134" si="11">K129</f>
        <v>76800</v>
      </c>
      <c r="M129" s="411">
        <v>0</v>
      </c>
      <c r="N129" s="713">
        <v>0</v>
      </c>
      <c r="O129" s="713">
        <f>L129</f>
        <v>76800</v>
      </c>
      <c r="P129" s="713">
        <f>O129/D129</f>
        <v>26.53766413268832</v>
      </c>
      <c r="Q129" s="1572" t="s">
        <v>1572</v>
      </c>
    </row>
    <row r="130" spans="1:19" s="382" customFormat="1" ht="30">
      <c r="A130" s="1653"/>
      <c r="B130" s="1567"/>
      <c r="C130" s="727" t="s">
        <v>628</v>
      </c>
      <c r="D130" s="717">
        <v>484</v>
      </c>
      <c r="E130" s="653" t="s">
        <v>1451</v>
      </c>
      <c r="F130" s="1000" t="s">
        <v>330</v>
      </c>
      <c r="G130" s="328" t="s">
        <v>333</v>
      </c>
      <c r="H130" s="368" t="s">
        <v>160</v>
      </c>
      <c r="I130" s="714">
        <v>600</v>
      </c>
      <c r="J130" s="714">
        <f>J129</f>
        <v>64</v>
      </c>
      <c r="K130" s="714">
        <f t="shared" si="10"/>
        <v>38400</v>
      </c>
      <c r="L130" s="334">
        <f t="shared" si="11"/>
        <v>38400</v>
      </c>
      <c r="M130" s="334">
        <v>0</v>
      </c>
      <c r="N130" s="714">
        <v>0</v>
      </c>
      <c r="O130" s="714">
        <f>L130</f>
        <v>38400</v>
      </c>
      <c r="P130" s="714">
        <f>O130/D130</f>
        <v>79.338842975206617</v>
      </c>
      <c r="Q130" s="1573"/>
    </row>
    <row r="131" spans="1:19" s="382" customFormat="1" ht="30">
      <c r="A131" s="1653"/>
      <c r="B131" s="1567"/>
      <c r="C131" s="727" t="s">
        <v>629</v>
      </c>
      <c r="D131" s="717">
        <v>931</v>
      </c>
      <c r="E131" s="653" t="s">
        <v>1451</v>
      </c>
      <c r="F131" s="1000" t="s">
        <v>330</v>
      </c>
      <c r="G131" s="328" t="s">
        <v>334</v>
      </c>
      <c r="H131" s="368" t="s">
        <v>160</v>
      </c>
      <c r="I131" s="714">
        <v>1600</v>
      </c>
      <c r="J131" s="714">
        <f>J130</f>
        <v>64</v>
      </c>
      <c r="K131" s="714">
        <f t="shared" si="10"/>
        <v>102400</v>
      </c>
      <c r="L131" s="334">
        <f t="shared" si="11"/>
        <v>102400</v>
      </c>
      <c r="M131" s="334">
        <v>0</v>
      </c>
      <c r="N131" s="714">
        <v>0</v>
      </c>
      <c r="O131" s="714">
        <f>L131</f>
        <v>102400</v>
      </c>
      <c r="P131" s="714">
        <f>O131/D131</f>
        <v>109.98925886143931</v>
      </c>
      <c r="Q131" s="1574"/>
    </row>
    <row r="132" spans="1:19" s="382" customFormat="1" ht="45">
      <c r="A132" s="1653"/>
      <c r="B132" s="1567"/>
      <c r="C132" s="1701" t="s">
        <v>630</v>
      </c>
      <c r="D132" s="1514">
        <v>1055</v>
      </c>
      <c r="E132" s="1620" t="s">
        <v>1451</v>
      </c>
      <c r="F132" s="1000" t="s">
        <v>320</v>
      </c>
      <c r="G132" s="329" t="s">
        <v>845</v>
      </c>
      <c r="H132" s="368" t="s">
        <v>160</v>
      </c>
      <c r="I132" s="714">
        <v>8000</v>
      </c>
      <c r="J132" s="714">
        <f>'preturi unitare'!H40</f>
        <v>154</v>
      </c>
      <c r="K132" s="714">
        <f t="shared" si="10"/>
        <v>1232000</v>
      </c>
      <c r="L132" s="334">
        <f t="shared" si="11"/>
        <v>1232000</v>
      </c>
      <c r="M132" s="334">
        <v>0</v>
      </c>
      <c r="N132" s="714">
        <v>0</v>
      </c>
      <c r="O132" s="1482">
        <f>SUM(L132:L137)</f>
        <v>1896600</v>
      </c>
      <c r="P132" s="1482">
        <f>O132/D132</f>
        <v>1797.7251184834124</v>
      </c>
      <c r="Q132" s="1581" t="s">
        <v>1573</v>
      </c>
    </row>
    <row r="133" spans="1:19" s="382" customFormat="1" ht="30">
      <c r="A133" s="1653"/>
      <c r="B133" s="1567"/>
      <c r="C133" s="1701"/>
      <c r="D133" s="1514"/>
      <c r="E133" s="1504"/>
      <c r="F133" s="1600" t="s">
        <v>321</v>
      </c>
      <c r="G133" s="329" t="s">
        <v>846</v>
      </c>
      <c r="H133" s="368" t="s">
        <v>280</v>
      </c>
      <c r="I133" s="714">
        <v>1</v>
      </c>
      <c r="J133" s="714">
        <f>'preturi unitare'!H5</f>
        <v>70000</v>
      </c>
      <c r="K133" s="714">
        <f t="shared" si="10"/>
        <v>70000</v>
      </c>
      <c r="L133" s="334">
        <f t="shared" si="11"/>
        <v>70000</v>
      </c>
      <c r="M133" s="334">
        <v>0</v>
      </c>
      <c r="N133" s="714">
        <v>0</v>
      </c>
      <c r="O133" s="1482"/>
      <c r="P133" s="1482"/>
      <c r="Q133" s="1636"/>
    </row>
    <row r="134" spans="1:19" s="382" customFormat="1" ht="60">
      <c r="A134" s="1653"/>
      <c r="B134" s="1567"/>
      <c r="C134" s="1701"/>
      <c r="D134" s="1514"/>
      <c r="E134" s="1504"/>
      <c r="F134" s="1600"/>
      <c r="G134" s="328" t="s">
        <v>847</v>
      </c>
      <c r="H134" s="368" t="s">
        <v>160</v>
      </c>
      <c r="I134" s="714">
        <v>1000</v>
      </c>
      <c r="J134" s="714">
        <f>'preturi unitare'!H33</f>
        <v>60</v>
      </c>
      <c r="K134" s="714">
        <f t="shared" si="10"/>
        <v>60000</v>
      </c>
      <c r="L134" s="334">
        <f t="shared" si="11"/>
        <v>60000</v>
      </c>
      <c r="M134" s="334">
        <v>0</v>
      </c>
      <c r="N134" s="714">
        <v>0</v>
      </c>
      <c r="O134" s="1482"/>
      <c r="P134" s="1482"/>
      <c r="Q134" s="1636"/>
    </row>
    <row r="135" spans="1:19" s="382" customFormat="1" ht="30">
      <c r="A135" s="1653"/>
      <c r="B135" s="1567"/>
      <c r="C135" s="1701"/>
      <c r="D135" s="1514"/>
      <c r="E135" s="1504"/>
      <c r="F135" s="1600" t="s">
        <v>322</v>
      </c>
      <c r="G135" s="328" t="s">
        <v>848</v>
      </c>
      <c r="H135" s="714" t="s">
        <v>160</v>
      </c>
      <c r="I135" s="714">
        <v>5800</v>
      </c>
      <c r="J135" s="714">
        <f>J129</f>
        <v>64</v>
      </c>
      <c r="K135" s="714">
        <f t="shared" si="10"/>
        <v>371200</v>
      </c>
      <c r="L135" s="334">
        <f>K135</f>
        <v>371200</v>
      </c>
      <c r="M135" s="334">
        <v>0</v>
      </c>
      <c r="N135" s="714">
        <v>0</v>
      </c>
      <c r="O135" s="1482"/>
      <c r="P135" s="1482"/>
      <c r="Q135" s="1636"/>
    </row>
    <row r="136" spans="1:19" s="382" customFormat="1" ht="30">
      <c r="A136" s="1653"/>
      <c r="B136" s="1567"/>
      <c r="C136" s="1701"/>
      <c r="D136" s="1514"/>
      <c r="E136" s="1504"/>
      <c r="F136" s="1600"/>
      <c r="G136" s="328" t="s">
        <v>849</v>
      </c>
      <c r="H136" s="714" t="s">
        <v>160</v>
      </c>
      <c r="I136" s="714">
        <v>1300</v>
      </c>
      <c r="J136" s="714">
        <f>'preturi unitare'!H23</f>
        <v>68</v>
      </c>
      <c r="K136" s="714">
        <f t="shared" si="10"/>
        <v>88400</v>
      </c>
      <c r="L136" s="334">
        <f>K136</f>
        <v>88400</v>
      </c>
      <c r="M136" s="334">
        <v>0</v>
      </c>
      <c r="N136" s="714">
        <v>0</v>
      </c>
      <c r="O136" s="1482"/>
      <c r="P136" s="1482"/>
      <c r="Q136" s="1636"/>
    </row>
    <row r="137" spans="1:19" s="382" customFormat="1" ht="47.25">
      <c r="A137" s="1653"/>
      <c r="B137" s="1567"/>
      <c r="C137" s="1701"/>
      <c r="D137" s="1514"/>
      <c r="E137" s="1505"/>
      <c r="F137" s="1000" t="s">
        <v>279</v>
      </c>
      <c r="G137" s="329" t="s">
        <v>1385</v>
      </c>
      <c r="H137" s="653" t="s">
        <v>280</v>
      </c>
      <c r="I137" s="714">
        <v>1</v>
      </c>
      <c r="J137" s="714">
        <f>'preturi unitare'!E25+'preturi unitare'!E6</f>
        <v>75000</v>
      </c>
      <c r="K137" s="714">
        <f t="shared" si="10"/>
        <v>75000</v>
      </c>
      <c r="L137" s="334">
        <f>K137</f>
        <v>75000</v>
      </c>
      <c r="M137" s="334">
        <v>0</v>
      </c>
      <c r="N137" s="377">
        <v>0</v>
      </c>
      <c r="O137" s="1482"/>
      <c r="P137" s="1482"/>
      <c r="Q137" s="1637"/>
    </row>
    <row r="138" spans="1:19" s="382" customFormat="1" ht="30">
      <c r="A138" s="1653"/>
      <c r="B138" s="1567" t="s">
        <v>1455</v>
      </c>
      <c r="C138" s="1701" t="s">
        <v>631</v>
      </c>
      <c r="D138" s="1514">
        <v>89</v>
      </c>
      <c r="E138" s="1620" t="s">
        <v>1451</v>
      </c>
      <c r="F138" s="1000" t="s">
        <v>329</v>
      </c>
      <c r="G138" s="328" t="s">
        <v>336</v>
      </c>
      <c r="H138" s="653" t="s">
        <v>280</v>
      </c>
      <c r="I138" s="714">
        <v>1</v>
      </c>
      <c r="J138" s="714">
        <f>'preturi unitare'!K4</f>
        <v>89000</v>
      </c>
      <c r="K138" s="714">
        <f t="shared" si="10"/>
        <v>89000</v>
      </c>
      <c r="L138" s="334">
        <f>K138</f>
        <v>89000</v>
      </c>
      <c r="M138" s="334">
        <v>0</v>
      </c>
      <c r="N138" s="714">
        <v>0</v>
      </c>
      <c r="O138" s="1482">
        <f>L138</f>
        <v>89000</v>
      </c>
      <c r="P138" s="1482">
        <f>O138/D138</f>
        <v>1000</v>
      </c>
      <c r="Q138" s="1581" t="s">
        <v>1574</v>
      </c>
    </row>
    <row r="139" spans="1:19" s="382" customFormat="1" ht="30">
      <c r="A139" s="1653"/>
      <c r="B139" s="1701"/>
      <c r="C139" s="1701"/>
      <c r="D139" s="1514"/>
      <c r="E139" s="1504"/>
      <c r="F139" s="1000" t="s">
        <v>322</v>
      </c>
      <c r="G139" s="328" t="s">
        <v>850</v>
      </c>
      <c r="H139" s="368" t="s">
        <v>160</v>
      </c>
      <c r="I139" s="714">
        <v>2000</v>
      </c>
      <c r="J139" s="714">
        <f>J129</f>
        <v>64</v>
      </c>
      <c r="K139" s="714">
        <f t="shared" si="10"/>
        <v>128000</v>
      </c>
      <c r="L139" s="334">
        <v>0</v>
      </c>
      <c r="M139" s="334">
        <f>K139</f>
        <v>128000</v>
      </c>
      <c r="N139" s="714">
        <v>0</v>
      </c>
      <c r="O139" s="1482"/>
      <c r="P139" s="1482"/>
      <c r="Q139" s="1638"/>
    </row>
    <row r="140" spans="1:19" s="382" customFormat="1" ht="47.25">
      <c r="A140" s="1654"/>
      <c r="B140" s="1701"/>
      <c r="C140" s="1701"/>
      <c r="D140" s="1514"/>
      <c r="E140" s="1505"/>
      <c r="F140" s="1000" t="s">
        <v>279</v>
      </c>
      <c r="G140" s="329" t="s">
        <v>1871</v>
      </c>
      <c r="H140" s="653" t="s">
        <v>280</v>
      </c>
      <c r="I140" s="714">
        <v>1</v>
      </c>
      <c r="J140" s="714">
        <f>'preturi unitare'!E31+'preturi unitare'!E6</f>
        <v>48000</v>
      </c>
      <c r="K140" s="714">
        <f t="shared" si="10"/>
        <v>48000</v>
      </c>
      <c r="L140" s="334">
        <v>0</v>
      </c>
      <c r="M140" s="334">
        <f>K140</f>
        <v>48000</v>
      </c>
      <c r="N140" s="377">
        <v>0</v>
      </c>
      <c r="O140" s="1482"/>
      <c r="P140" s="1482"/>
      <c r="Q140" s="1639"/>
    </row>
    <row r="141" spans="1:19" s="382" customFormat="1">
      <c r="A141" s="820"/>
      <c r="B141" s="663"/>
      <c r="C141" s="663"/>
      <c r="D141" s="663"/>
      <c r="E141" s="663"/>
      <c r="F141" s="663"/>
      <c r="G141" s="663"/>
      <c r="H141" s="326"/>
      <c r="I141" s="714"/>
      <c r="J141" s="714"/>
      <c r="K141" s="714"/>
      <c r="L141" s="334"/>
      <c r="M141" s="334"/>
      <c r="N141" s="326"/>
      <c r="O141" s="792"/>
      <c r="P141" s="405"/>
      <c r="Q141" s="587"/>
    </row>
    <row r="142" spans="1:19" s="382" customFormat="1">
      <c r="A142" s="1529" t="s">
        <v>335</v>
      </c>
      <c r="B142" s="1530"/>
      <c r="C142" s="1530"/>
      <c r="D142" s="1530"/>
      <c r="E142" s="1530"/>
      <c r="F142" s="1530"/>
      <c r="G142" s="1531"/>
      <c r="H142" s="793"/>
      <c r="I142" s="798"/>
      <c r="J142" s="798"/>
      <c r="K142" s="799">
        <f>SUM(K129:K140)</f>
        <v>2379200</v>
      </c>
      <c r="L142" s="574">
        <f>SUM(L129:L140)</f>
        <v>2203200</v>
      </c>
      <c r="M142" s="574">
        <f>SUM(M129:M140)</f>
        <v>176000</v>
      </c>
      <c r="N142" s="573">
        <f>SUM(N129:N140)</f>
        <v>0</v>
      </c>
      <c r="O142" s="800"/>
      <c r="P142" s="801"/>
      <c r="Q142" s="644"/>
      <c r="S142" s="629"/>
    </row>
    <row r="143" spans="1:19" s="382" customFormat="1" ht="15.75" thickBot="1">
      <c r="A143" s="833"/>
      <c r="B143" s="397"/>
      <c r="C143" s="397"/>
      <c r="D143" s="397"/>
      <c r="E143" s="397"/>
      <c r="F143" s="711"/>
      <c r="G143" s="417"/>
      <c r="H143" s="732"/>
      <c r="I143" s="732"/>
      <c r="J143" s="732"/>
      <c r="K143" s="732"/>
      <c r="L143" s="426"/>
      <c r="M143" s="426"/>
      <c r="N143" s="418"/>
      <c r="O143" s="406"/>
      <c r="P143" s="406"/>
      <c r="Q143" s="643"/>
    </row>
    <row r="144" spans="1:19" s="382" customFormat="1" ht="60" customHeight="1">
      <c r="A144" s="1608" t="s">
        <v>632</v>
      </c>
      <c r="B144" s="1544" t="s">
        <v>617</v>
      </c>
      <c r="C144" s="1538" t="s">
        <v>610</v>
      </c>
      <c r="D144" s="1538" t="s">
        <v>611</v>
      </c>
      <c r="E144" s="1538" t="s">
        <v>1453</v>
      </c>
      <c r="F144" s="1472" t="s">
        <v>159</v>
      </c>
      <c r="G144" s="1509" t="s">
        <v>110</v>
      </c>
      <c r="H144" s="1477" t="s">
        <v>316</v>
      </c>
      <c r="I144" s="1472" t="s">
        <v>315</v>
      </c>
      <c r="J144" s="1472" t="s">
        <v>317</v>
      </c>
      <c r="K144" s="1472" t="s">
        <v>318</v>
      </c>
      <c r="L144" s="569" t="s">
        <v>1443</v>
      </c>
      <c r="M144" s="569" t="s">
        <v>1444</v>
      </c>
      <c r="N144" s="709" t="s">
        <v>1445</v>
      </c>
      <c r="O144" s="1477" t="s">
        <v>1673</v>
      </c>
      <c r="P144" s="1477" t="s">
        <v>1307</v>
      </c>
      <c r="Q144" s="1495" t="s">
        <v>1454</v>
      </c>
    </row>
    <row r="145" spans="1:17" s="382" customFormat="1" ht="15.75" thickBot="1">
      <c r="A145" s="1609"/>
      <c r="B145" s="1545"/>
      <c r="C145" s="1539"/>
      <c r="D145" s="1539"/>
      <c r="E145" s="1539"/>
      <c r="F145" s="1473"/>
      <c r="G145" s="1510"/>
      <c r="H145" s="1478"/>
      <c r="I145" s="1473"/>
      <c r="J145" s="1473"/>
      <c r="K145" s="1473"/>
      <c r="L145" s="570" t="s">
        <v>805</v>
      </c>
      <c r="M145" s="570" t="s">
        <v>805</v>
      </c>
      <c r="N145" s="710" t="s">
        <v>1149</v>
      </c>
      <c r="O145" s="1478"/>
      <c r="P145" s="1478"/>
      <c r="Q145" s="1496"/>
    </row>
    <row r="146" spans="1:17" s="382" customFormat="1" ht="45">
      <c r="A146" s="1702" t="s">
        <v>627</v>
      </c>
      <c r="B146" s="1680" t="s">
        <v>627</v>
      </c>
      <c r="C146" s="1487" t="s">
        <v>1456</v>
      </c>
      <c r="D146" s="1607">
        <f>D129</f>
        <v>2894</v>
      </c>
      <c r="E146" s="1628">
        <f>1.1*D146</f>
        <v>3183.4</v>
      </c>
      <c r="F146" s="731" t="s">
        <v>144</v>
      </c>
      <c r="G146" s="412" t="s">
        <v>851</v>
      </c>
      <c r="H146" s="431" t="s">
        <v>160</v>
      </c>
      <c r="I146" s="436">
        <v>600</v>
      </c>
      <c r="J146" s="713">
        <f>'preturi unitare'!H41</f>
        <v>165</v>
      </c>
      <c r="K146" s="737">
        <f>I146*J146</f>
        <v>99000</v>
      </c>
      <c r="L146" s="411">
        <f t="shared" ref="L146:L149" si="12">K146</f>
        <v>99000</v>
      </c>
      <c r="M146" s="411">
        <v>0</v>
      </c>
      <c r="N146" s="424">
        <v>0</v>
      </c>
      <c r="O146" s="1555">
        <f>L148</f>
        <v>308000</v>
      </c>
      <c r="P146" s="1555">
        <f>O146/E146</f>
        <v>96.751900483759499</v>
      </c>
      <c r="Q146" s="1582" t="s">
        <v>1575</v>
      </c>
    </row>
    <row r="147" spans="1:17" s="382" customFormat="1" ht="30">
      <c r="A147" s="1652"/>
      <c r="B147" s="1488"/>
      <c r="C147" s="1488"/>
      <c r="D147" s="1602"/>
      <c r="E147" s="1607"/>
      <c r="F147" s="721" t="s">
        <v>324</v>
      </c>
      <c r="G147" s="329" t="s">
        <v>852</v>
      </c>
      <c r="H147" s="368" t="s">
        <v>280</v>
      </c>
      <c r="I147" s="714">
        <v>2</v>
      </c>
      <c r="J147" s="714">
        <f>'preturi unitare'!B32</f>
        <v>67000</v>
      </c>
      <c r="K147" s="717">
        <f>I147*J147</f>
        <v>134000</v>
      </c>
      <c r="L147" s="334">
        <f t="shared" si="12"/>
        <v>134000</v>
      </c>
      <c r="M147" s="334">
        <v>0</v>
      </c>
      <c r="N147" s="377">
        <v>0</v>
      </c>
      <c r="O147" s="1482"/>
      <c r="P147" s="1482"/>
      <c r="Q147" s="1583"/>
    </row>
    <row r="148" spans="1:17" s="382" customFormat="1" ht="30">
      <c r="A148" s="1652"/>
      <c r="B148" s="1488"/>
      <c r="C148" s="1488" t="s">
        <v>629</v>
      </c>
      <c r="D148" s="1602">
        <f>D131</f>
        <v>931</v>
      </c>
      <c r="E148" s="1606">
        <f>D148</f>
        <v>931</v>
      </c>
      <c r="F148" s="1595" t="s">
        <v>325</v>
      </c>
      <c r="G148" s="329" t="s">
        <v>542</v>
      </c>
      <c r="H148" s="368" t="s">
        <v>160</v>
      </c>
      <c r="I148" s="714">
        <v>2000</v>
      </c>
      <c r="J148" s="714">
        <f>'preturi unitare'!H40</f>
        <v>154</v>
      </c>
      <c r="K148" s="717">
        <f>I148*J148</f>
        <v>308000</v>
      </c>
      <c r="L148" s="334">
        <f>K148</f>
        <v>308000</v>
      </c>
      <c r="M148" s="334">
        <v>0</v>
      </c>
      <c r="N148" s="377">
        <v>0</v>
      </c>
      <c r="O148" s="1482">
        <f>L146+L147+L149</f>
        <v>1206500</v>
      </c>
      <c r="P148" s="1482">
        <f>O148/E148</f>
        <v>1295.9183673469388</v>
      </c>
      <c r="Q148" s="1583"/>
    </row>
    <row r="149" spans="1:17" s="382" customFormat="1" ht="98.25" customHeight="1">
      <c r="A149" s="1652"/>
      <c r="B149" s="1488"/>
      <c r="C149" s="1488"/>
      <c r="D149" s="1602"/>
      <c r="E149" s="1607"/>
      <c r="F149" s="1595"/>
      <c r="G149" s="329" t="s">
        <v>337</v>
      </c>
      <c r="H149" s="368" t="s">
        <v>160</v>
      </c>
      <c r="I149" s="714">
        <v>5900</v>
      </c>
      <c r="J149" s="714">
        <f>'preturi unitare'!H41</f>
        <v>165</v>
      </c>
      <c r="K149" s="717">
        <f>I149*J149</f>
        <v>973500</v>
      </c>
      <c r="L149" s="334">
        <f t="shared" si="12"/>
        <v>973500</v>
      </c>
      <c r="M149" s="334">
        <v>0</v>
      </c>
      <c r="N149" s="377">
        <v>0</v>
      </c>
      <c r="O149" s="1482"/>
      <c r="P149" s="1482"/>
      <c r="Q149" s="1583"/>
    </row>
    <row r="150" spans="1:17" s="382" customFormat="1" ht="30">
      <c r="A150" s="1652"/>
      <c r="B150" s="1488" t="s">
        <v>1451</v>
      </c>
      <c r="C150" s="1488" t="s">
        <v>628</v>
      </c>
      <c r="D150" s="1602">
        <f>D130</f>
        <v>484</v>
      </c>
      <c r="E150" s="1606">
        <f>D150</f>
        <v>484</v>
      </c>
      <c r="F150" s="721" t="s">
        <v>323</v>
      </c>
      <c r="G150" s="329" t="s">
        <v>1391</v>
      </c>
      <c r="H150" s="389" t="s">
        <v>280</v>
      </c>
      <c r="I150" s="389">
        <v>1</v>
      </c>
      <c r="J150" s="389">
        <f>'preturi unitare'!O25</f>
        <v>92000</v>
      </c>
      <c r="K150" s="724">
        <f>'preturi unitare'!O26</f>
        <v>94000</v>
      </c>
      <c r="L150" s="334">
        <v>0</v>
      </c>
      <c r="M150" s="334">
        <f>K150</f>
        <v>94000</v>
      </c>
      <c r="N150" s="724">
        <v>0</v>
      </c>
      <c r="O150" s="1483">
        <f>SUM(K150:K151)</f>
        <v>941000</v>
      </c>
      <c r="P150" s="1483">
        <f>O150/D150</f>
        <v>1944.2148760330579</v>
      </c>
      <c r="Q150" s="1641" t="s">
        <v>1576</v>
      </c>
    </row>
    <row r="151" spans="1:17" s="382" customFormat="1" ht="30">
      <c r="A151" s="1652"/>
      <c r="B151" s="1488"/>
      <c r="C151" s="1488"/>
      <c r="D151" s="1602"/>
      <c r="E151" s="1607"/>
      <c r="F151" s="721" t="s">
        <v>325</v>
      </c>
      <c r="G151" s="329" t="s">
        <v>338</v>
      </c>
      <c r="H151" s="368" t="s">
        <v>160</v>
      </c>
      <c r="I151" s="714">
        <v>5500</v>
      </c>
      <c r="J151" s="714">
        <f>J148</f>
        <v>154</v>
      </c>
      <c r="K151" s="717">
        <f t="shared" ref="K151:K157" si="13">I151*J151</f>
        <v>847000</v>
      </c>
      <c r="L151" s="334">
        <v>0</v>
      </c>
      <c r="M151" s="334">
        <f t="shared" ref="M151:M156" si="14">K151</f>
        <v>847000</v>
      </c>
      <c r="N151" s="1286">
        <v>0</v>
      </c>
      <c r="O151" s="1483"/>
      <c r="P151" s="1483"/>
      <c r="Q151" s="1641"/>
    </row>
    <row r="152" spans="1:17" s="382" customFormat="1" ht="45">
      <c r="A152" s="1652"/>
      <c r="B152" s="722" t="s">
        <v>1451</v>
      </c>
      <c r="C152" s="718" t="s">
        <v>633</v>
      </c>
      <c r="D152" s="733">
        <v>263</v>
      </c>
      <c r="E152" s="733">
        <f>D152</f>
        <v>263</v>
      </c>
      <c r="F152" s="721" t="s">
        <v>323</v>
      </c>
      <c r="G152" s="329" t="s">
        <v>1311</v>
      </c>
      <c r="H152" s="389" t="s">
        <v>280</v>
      </c>
      <c r="I152" s="389">
        <v>1</v>
      </c>
      <c r="J152" s="389">
        <f>'preturi unitare'!N4</f>
        <v>70000</v>
      </c>
      <c r="K152" s="724">
        <f t="shared" si="13"/>
        <v>70000</v>
      </c>
      <c r="L152" s="334">
        <v>0</v>
      </c>
      <c r="M152" s="334">
        <f>K152</f>
        <v>70000</v>
      </c>
      <c r="N152" s="1286">
        <v>0</v>
      </c>
      <c r="O152" s="729">
        <f>K152</f>
        <v>70000</v>
      </c>
      <c r="P152" s="729">
        <f>O152/D152</f>
        <v>266.1596958174905</v>
      </c>
      <c r="Q152" s="978" t="s">
        <v>1577</v>
      </c>
    </row>
    <row r="153" spans="1:17" s="382" customFormat="1" ht="30">
      <c r="A153" s="1652"/>
      <c r="B153" s="1488" t="s">
        <v>1451</v>
      </c>
      <c r="C153" s="1567" t="s">
        <v>634</v>
      </c>
      <c r="D153" s="1602">
        <v>484</v>
      </c>
      <c r="E153" s="1606">
        <f>D153</f>
        <v>484</v>
      </c>
      <c r="F153" s="721" t="s">
        <v>323</v>
      </c>
      <c r="G153" s="329" t="s">
        <v>853</v>
      </c>
      <c r="H153" s="389" t="s">
        <v>280</v>
      </c>
      <c r="I153" s="389">
        <v>1</v>
      </c>
      <c r="J153" s="389">
        <f>'preturi unitare'!O26</f>
        <v>94000</v>
      </c>
      <c r="K153" s="724">
        <f t="shared" si="13"/>
        <v>94000</v>
      </c>
      <c r="L153" s="334">
        <v>0</v>
      </c>
      <c r="M153" s="334">
        <f t="shared" si="14"/>
        <v>94000</v>
      </c>
      <c r="N153" s="1286">
        <v>0</v>
      </c>
      <c r="O153" s="1483">
        <f>SUM(K153:K154)</f>
        <v>704500</v>
      </c>
      <c r="P153" s="1483">
        <f>O153/D153</f>
        <v>1455.5785123966941</v>
      </c>
      <c r="Q153" s="1641" t="s">
        <v>1578</v>
      </c>
    </row>
    <row r="154" spans="1:17" s="382" customFormat="1" ht="30">
      <c r="A154" s="1652"/>
      <c r="B154" s="1488"/>
      <c r="C154" s="1567"/>
      <c r="D154" s="1602"/>
      <c r="E154" s="1607"/>
      <c r="F154" s="721" t="s">
        <v>325</v>
      </c>
      <c r="G154" s="329" t="s">
        <v>339</v>
      </c>
      <c r="H154" s="368" t="s">
        <v>160</v>
      </c>
      <c r="I154" s="714">
        <v>3700</v>
      </c>
      <c r="J154" s="714">
        <f>J149</f>
        <v>165</v>
      </c>
      <c r="K154" s="717">
        <f t="shared" si="13"/>
        <v>610500</v>
      </c>
      <c r="L154" s="334">
        <v>0</v>
      </c>
      <c r="M154" s="334">
        <f t="shared" si="14"/>
        <v>610500</v>
      </c>
      <c r="N154" s="1286">
        <v>0</v>
      </c>
      <c r="O154" s="1483"/>
      <c r="P154" s="1483"/>
      <c r="Q154" s="1641"/>
    </row>
    <row r="155" spans="1:17" s="382" customFormat="1" ht="30">
      <c r="A155" s="1652"/>
      <c r="B155" s="1488" t="s">
        <v>1451</v>
      </c>
      <c r="C155" s="1567" t="s">
        <v>630</v>
      </c>
      <c r="D155" s="1602">
        <f>D132</f>
        <v>1055</v>
      </c>
      <c r="E155" s="1606">
        <f>D155</f>
        <v>1055</v>
      </c>
      <c r="F155" s="721" t="s">
        <v>323</v>
      </c>
      <c r="G155" s="329" t="s">
        <v>854</v>
      </c>
      <c r="H155" s="368" t="s">
        <v>280</v>
      </c>
      <c r="I155" s="714">
        <v>1</v>
      </c>
      <c r="J155" s="714">
        <f>'preturi unitare'!O29</f>
        <v>165500</v>
      </c>
      <c r="K155" s="717">
        <f t="shared" si="13"/>
        <v>165500</v>
      </c>
      <c r="L155" s="334">
        <v>0</v>
      </c>
      <c r="M155" s="334">
        <f t="shared" si="14"/>
        <v>165500</v>
      </c>
      <c r="N155" s="1286">
        <v>0</v>
      </c>
      <c r="O155" s="1483">
        <f>SUM(K155:K156)</f>
        <v>1337000</v>
      </c>
      <c r="P155" s="1483">
        <f>O155/D155</f>
        <v>1267.2985781990521</v>
      </c>
      <c r="Q155" s="1641" t="s">
        <v>1579</v>
      </c>
    </row>
    <row r="156" spans="1:17" s="382" customFormat="1" ht="30">
      <c r="A156" s="1652"/>
      <c r="B156" s="1488"/>
      <c r="C156" s="1567"/>
      <c r="D156" s="1602"/>
      <c r="E156" s="1607"/>
      <c r="F156" s="721" t="s">
        <v>325</v>
      </c>
      <c r="G156" s="329" t="s">
        <v>340</v>
      </c>
      <c r="H156" s="368" t="s">
        <v>160</v>
      </c>
      <c r="I156" s="714">
        <v>7100</v>
      </c>
      <c r="J156" s="714">
        <f>J154</f>
        <v>165</v>
      </c>
      <c r="K156" s="717">
        <f t="shared" si="13"/>
        <v>1171500</v>
      </c>
      <c r="L156" s="334">
        <v>0</v>
      </c>
      <c r="M156" s="334">
        <f t="shared" si="14"/>
        <v>1171500</v>
      </c>
      <c r="N156" s="1286">
        <v>0</v>
      </c>
      <c r="O156" s="1483"/>
      <c r="P156" s="1483"/>
      <c r="Q156" s="1641"/>
    </row>
    <row r="157" spans="1:17" s="382" customFormat="1" ht="45">
      <c r="A157" s="1703"/>
      <c r="B157" s="722" t="s">
        <v>1451</v>
      </c>
      <c r="C157" s="718" t="s">
        <v>631</v>
      </c>
      <c r="D157" s="733">
        <f>D138</f>
        <v>89</v>
      </c>
      <c r="E157" s="733">
        <f>D157</f>
        <v>89</v>
      </c>
      <c r="F157" s="721" t="s">
        <v>323</v>
      </c>
      <c r="G157" s="329" t="s">
        <v>592</v>
      </c>
      <c r="H157" s="368" t="s">
        <v>280</v>
      </c>
      <c r="I157" s="714">
        <v>1</v>
      </c>
      <c r="J157" s="714">
        <f>'preturi unitare'!L4</f>
        <v>70000</v>
      </c>
      <c r="K157" s="717">
        <f t="shared" si="13"/>
        <v>70000</v>
      </c>
      <c r="L157" s="334">
        <v>0</v>
      </c>
      <c r="M157" s="334">
        <f>K157</f>
        <v>70000</v>
      </c>
      <c r="N157" s="1286">
        <v>0</v>
      </c>
      <c r="O157" s="729">
        <f>K157</f>
        <v>70000</v>
      </c>
      <c r="P157" s="729">
        <f>O157/D157</f>
        <v>786.51685393258424</v>
      </c>
      <c r="Q157" s="978" t="s">
        <v>1580</v>
      </c>
    </row>
    <row r="158" spans="1:17" s="382" customFormat="1">
      <c r="A158" s="820"/>
      <c r="B158" s="722"/>
      <c r="C158" s="722"/>
      <c r="D158" s="722"/>
      <c r="E158" s="722"/>
      <c r="F158" s="721"/>
      <c r="G158" s="384"/>
      <c r="H158" s="714"/>
      <c r="I158" s="714"/>
      <c r="J158" s="714"/>
      <c r="K158" s="714"/>
      <c r="L158" s="334"/>
      <c r="M158" s="334"/>
      <c r="N158" s="326"/>
      <c r="O158" s="405"/>
      <c r="P158" s="405"/>
      <c r="Q158" s="587"/>
    </row>
    <row r="159" spans="1:17" s="382" customFormat="1">
      <c r="A159" s="1532" t="s">
        <v>341</v>
      </c>
      <c r="B159" s="1533"/>
      <c r="C159" s="1533"/>
      <c r="D159" s="1533"/>
      <c r="E159" s="1533"/>
      <c r="F159" s="1533"/>
      <c r="G159" s="1534"/>
      <c r="H159" s="364"/>
      <c r="I159" s="364"/>
      <c r="J159" s="364"/>
      <c r="K159" s="364">
        <f>SUM(K146:K157)</f>
        <v>4637000</v>
      </c>
      <c r="L159" s="365">
        <f>SUM(L146:L157)</f>
        <v>1514500</v>
      </c>
      <c r="M159" s="365">
        <f>SUM(M146:M157)</f>
        <v>3122500</v>
      </c>
      <c r="N159" s="364">
        <f>SUM(N146:N157)</f>
        <v>0</v>
      </c>
      <c r="O159" s="415"/>
      <c r="P159" s="387"/>
      <c r="Q159" s="587"/>
    </row>
    <row r="160" spans="1:17" s="382" customFormat="1">
      <c r="A160" s="820"/>
      <c r="B160" s="742"/>
      <c r="C160" s="742"/>
      <c r="D160" s="742"/>
      <c r="E160" s="742"/>
      <c r="F160" s="721"/>
      <c r="G160" s="328"/>
      <c r="H160" s="714"/>
      <c r="I160" s="714"/>
      <c r="J160" s="714"/>
      <c r="K160" s="714"/>
      <c r="L160" s="334"/>
      <c r="M160" s="334"/>
      <c r="N160" s="714"/>
      <c r="O160" s="387"/>
      <c r="P160" s="387"/>
      <c r="Q160" s="587"/>
    </row>
    <row r="161" spans="1:17" s="382" customFormat="1" ht="15" customHeight="1" thickBot="1">
      <c r="A161" s="1474" t="s">
        <v>342</v>
      </c>
      <c r="B161" s="1475"/>
      <c r="C161" s="1475"/>
      <c r="D161" s="1475"/>
      <c r="E161" s="1475"/>
      <c r="F161" s="1475"/>
      <c r="G161" s="1476"/>
      <c r="H161" s="581"/>
      <c r="I161" s="581"/>
      <c r="J161" s="581"/>
      <c r="K161" s="582">
        <f>K142+K159</f>
        <v>7016200</v>
      </c>
      <c r="L161" s="583">
        <f>L142+L159</f>
        <v>3717700</v>
      </c>
      <c r="M161" s="583">
        <f>M142+M159</f>
        <v>3298500</v>
      </c>
      <c r="N161" s="582">
        <f>N142+N159</f>
        <v>0</v>
      </c>
      <c r="O161" s="593"/>
      <c r="P161" s="593"/>
      <c r="Q161" s="816"/>
    </row>
    <row r="162" spans="1:17" s="382" customFormat="1" ht="15.75" thickBot="1">
      <c r="B162" s="606"/>
      <c r="C162" s="606"/>
      <c r="D162" s="606"/>
      <c r="E162" s="606"/>
      <c r="F162" s="607"/>
      <c r="G162" s="576"/>
      <c r="H162" s="608"/>
      <c r="I162" s="608"/>
      <c r="J162" s="608"/>
      <c r="K162" s="608"/>
      <c r="L162" s="609"/>
      <c r="M162" s="609"/>
      <c r="N162" s="608"/>
      <c r="O162" s="586"/>
      <c r="P162" s="586"/>
      <c r="Q162" s="586"/>
    </row>
    <row r="163" spans="1:17" s="382" customFormat="1" ht="15.75" thickBot="1">
      <c r="A163" s="839"/>
      <c r="B163" s="639"/>
      <c r="C163" s="639"/>
      <c r="D163" s="639"/>
      <c r="E163" s="639"/>
      <c r="F163" s="846"/>
      <c r="G163" s="577" t="s">
        <v>1883</v>
      </c>
      <c r="H163" s="847"/>
      <c r="I163" s="840"/>
      <c r="J163" s="853"/>
      <c r="K163" s="639"/>
      <c r="L163" s="640"/>
      <c r="M163" s="640"/>
      <c r="N163" s="639"/>
      <c r="O163" s="853"/>
      <c r="P163" s="853"/>
      <c r="Q163" s="642"/>
    </row>
    <row r="164" spans="1:17" s="382" customFormat="1" ht="15.75" thickBot="1">
      <c r="A164" s="645"/>
      <c r="B164" s="355"/>
      <c r="C164" s="355"/>
      <c r="D164" s="355"/>
      <c r="E164" s="355"/>
      <c r="F164" s="356"/>
      <c r="G164" s="576"/>
      <c r="H164" s="358"/>
      <c r="I164" s="358"/>
      <c r="J164" s="358"/>
      <c r="K164" s="358"/>
      <c r="L164" s="359"/>
      <c r="M164" s="359"/>
      <c r="N164" s="358"/>
      <c r="O164" s="419"/>
      <c r="P164" s="419"/>
      <c r="Q164" s="643"/>
    </row>
    <row r="165" spans="1:17" s="382" customFormat="1" ht="60" customHeight="1">
      <c r="A165" s="1562" t="s">
        <v>632</v>
      </c>
      <c r="B165" s="1538" t="s">
        <v>676</v>
      </c>
      <c r="C165" s="1538" t="s">
        <v>610</v>
      </c>
      <c r="D165" s="1538" t="s">
        <v>611</v>
      </c>
      <c r="E165" s="1538" t="s">
        <v>1453</v>
      </c>
      <c r="F165" s="1472" t="s">
        <v>159</v>
      </c>
      <c r="G165" s="1509" t="s">
        <v>110</v>
      </c>
      <c r="H165" s="1477" t="s">
        <v>316</v>
      </c>
      <c r="I165" s="1472" t="s">
        <v>315</v>
      </c>
      <c r="J165" s="1472" t="s">
        <v>317</v>
      </c>
      <c r="K165" s="1472" t="s">
        <v>318</v>
      </c>
      <c r="L165" s="569" t="s">
        <v>1443</v>
      </c>
      <c r="M165" s="569" t="s">
        <v>1444</v>
      </c>
      <c r="N165" s="709" t="s">
        <v>1445</v>
      </c>
      <c r="O165" s="1477" t="s">
        <v>1673</v>
      </c>
      <c r="P165" s="1477" t="s">
        <v>1307</v>
      </c>
      <c r="Q165" s="1495" t="s">
        <v>1454</v>
      </c>
    </row>
    <row r="166" spans="1:17" s="382" customFormat="1" ht="15.75" thickBot="1">
      <c r="A166" s="1563"/>
      <c r="B166" s="1539"/>
      <c r="C166" s="1539"/>
      <c r="D166" s="1539"/>
      <c r="E166" s="1539"/>
      <c r="F166" s="1473"/>
      <c r="G166" s="1510"/>
      <c r="H166" s="1478"/>
      <c r="I166" s="1473"/>
      <c r="J166" s="1473"/>
      <c r="K166" s="1473"/>
      <c r="L166" s="570" t="s">
        <v>805</v>
      </c>
      <c r="M166" s="570" t="s">
        <v>805</v>
      </c>
      <c r="N166" s="710" t="s">
        <v>1149</v>
      </c>
      <c r="O166" s="1478"/>
      <c r="P166" s="1478"/>
      <c r="Q166" s="1496"/>
    </row>
    <row r="167" spans="1:17" s="382" customFormat="1" ht="30">
      <c r="A167" s="1652" t="s">
        <v>647</v>
      </c>
      <c r="B167" s="1699" t="s">
        <v>612</v>
      </c>
      <c r="C167" s="1599" t="s">
        <v>1262</v>
      </c>
      <c r="D167" s="1598">
        <f>704+873+1123+134+2070+1064</f>
        <v>5968</v>
      </c>
      <c r="E167" s="1628" t="s">
        <v>1451</v>
      </c>
      <c r="F167" s="746" t="s">
        <v>1224</v>
      </c>
      <c r="G167" s="851" t="s">
        <v>1258</v>
      </c>
      <c r="H167" s="750" t="s">
        <v>280</v>
      </c>
      <c r="I167" s="852">
        <v>1</v>
      </c>
      <c r="J167" s="726">
        <v>101167</v>
      </c>
      <c r="K167" s="726">
        <f t="shared" ref="K167:K174" si="15">I167*J167</f>
        <v>101167</v>
      </c>
      <c r="L167" s="835">
        <f t="shared" ref="L167:L175" si="16">K167</f>
        <v>101167</v>
      </c>
      <c r="M167" s="835">
        <v>0</v>
      </c>
      <c r="N167" s="726">
        <v>0</v>
      </c>
      <c r="O167" s="1696">
        <f>SUM(L167:L193)</f>
        <v>4463717</v>
      </c>
      <c r="P167" s="1696">
        <f>O167/D167</f>
        <v>747.94185656836464</v>
      </c>
      <c r="Q167" s="1572" t="s">
        <v>1581</v>
      </c>
    </row>
    <row r="168" spans="1:17" s="382" customFormat="1" ht="30">
      <c r="A168" s="1653"/>
      <c r="B168" s="1700"/>
      <c r="C168" s="1701"/>
      <c r="D168" s="1577"/>
      <c r="E168" s="1627"/>
      <c r="F168" s="1595" t="s">
        <v>320</v>
      </c>
      <c r="G168" s="612" t="s">
        <v>1259</v>
      </c>
      <c r="H168" s="1134" t="s">
        <v>160</v>
      </c>
      <c r="I168" s="611">
        <v>6500</v>
      </c>
      <c r="J168" s="1124">
        <f>J68</f>
        <v>60</v>
      </c>
      <c r="K168" s="1124">
        <f t="shared" si="15"/>
        <v>390000</v>
      </c>
      <c r="L168" s="401">
        <f t="shared" si="16"/>
        <v>390000</v>
      </c>
      <c r="M168" s="401">
        <v>0</v>
      </c>
      <c r="N168" s="724">
        <v>0</v>
      </c>
      <c r="O168" s="1622"/>
      <c r="P168" s="1597"/>
      <c r="Q168" s="1636"/>
    </row>
    <row r="169" spans="1:17" s="382" customFormat="1" ht="30">
      <c r="A169" s="1653"/>
      <c r="B169" s="1700"/>
      <c r="C169" s="1701"/>
      <c r="D169" s="1577"/>
      <c r="E169" s="1627"/>
      <c r="F169" s="1595"/>
      <c r="G169" s="329" t="s">
        <v>1215</v>
      </c>
      <c r="H169" s="807" t="s">
        <v>160</v>
      </c>
      <c r="I169" s="1119">
        <v>5900</v>
      </c>
      <c r="J169" s="1124">
        <f>J15</f>
        <v>79</v>
      </c>
      <c r="K169" s="1124">
        <f t="shared" si="15"/>
        <v>466100</v>
      </c>
      <c r="L169" s="401">
        <f t="shared" si="16"/>
        <v>466100</v>
      </c>
      <c r="M169" s="401">
        <v>0</v>
      </c>
      <c r="N169" s="724">
        <v>0</v>
      </c>
      <c r="O169" s="1622"/>
      <c r="P169" s="1597"/>
      <c r="Q169" s="1636"/>
    </row>
    <row r="170" spans="1:17" s="382" customFormat="1" ht="45">
      <c r="A170" s="1653"/>
      <c r="B170" s="1700"/>
      <c r="C170" s="1701"/>
      <c r="D170" s="1577"/>
      <c r="E170" s="1627"/>
      <c r="F170" s="1595"/>
      <c r="G170" s="329" t="s">
        <v>1216</v>
      </c>
      <c r="H170" s="807" t="s">
        <v>160</v>
      </c>
      <c r="I170" s="1119">
        <v>1750</v>
      </c>
      <c r="J170" s="1124">
        <f>'preturi unitare'!H23</f>
        <v>68</v>
      </c>
      <c r="K170" s="1124">
        <f t="shared" si="15"/>
        <v>119000</v>
      </c>
      <c r="L170" s="401">
        <f t="shared" si="16"/>
        <v>119000</v>
      </c>
      <c r="M170" s="401">
        <v>0</v>
      </c>
      <c r="N170" s="724">
        <v>0</v>
      </c>
      <c r="O170" s="1622"/>
      <c r="P170" s="1597"/>
      <c r="Q170" s="1636"/>
    </row>
    <row r="171" spans="1:17" s="382" customFormat="1" ht="30">
      <c r="A171" s="1653"/>
      <c r="B171" s="1700"/>
      <c r="C171" s="1701"/>
      <c r="D171" s="1577"/>
      <c r="E171" s="1627"/>
      <c r="F171" s="1595"/>
      <c r="G171" s="329" t="s">
        <v>1222</v>
      </c>
      <c r="H171" s="807" t="s">
        <v>160</v>
      </c>
      <c r="I171" s="1119">
        <v>400</v>
      </c>
      <c r="J171" s="1124">
        <f>'preturi unitare'!H32</f>
        <v>58</v>
      </c>
      <c r="K171" s="1124">
        <f t="shared" si="15"/>
        <v>23200</v>
      </c>
      <c r="L171" s="401">
        <f t="shared" si="16"/>
        <v>23200</v>
      </c>
      <c r="M171" s="401">
        <v>0</v>
      </c>
      <c r="N171" s="724">
        <v>0</v>
      </c>
      <c r="O171" s="1622"/>
      <c r="P171" s="1597"/>
      <c r="Q171" s="1636"/>
    </row>
    <row r="172" spans="1:17" s="382" customFormat="1" ht="45">
      <c r="A172" s="1653"/>
      <c r="B172" s="1700"/>
      <c r="C172" s="1701"/>
      <c r="D172" s="1577"/>
      <c r="E172" s="1627"/>
      <c r="F172" s="1595"/>
      <c r="G172" s="329" t="s">
        <v>1872</v>
      </c>
      <c r="H172" s="807" t="s">
        <v>160</v>
      </c>
      <c r="I172" s="1119">
        <v>6222</v>
      </c>
      <c r="J172" s="1124">
        <f>J170</f>
        <v>68</v>
      </c>
      <c r="K172" s="1124">
        <f t="shared" si="15"/>
        <v>423096</v>
      </c>
      <c r="L172" s="401">
        <f t="shared" si="16"/>
        <v>423096</v>
      </c>
      <c r="M172" s="401">
        <v>0</v>
      </c>
      <c r="N172" s="724">
        <v>0</v>
      </c>
      <c r="O172" s="1622"/>
      <c r="P172" s="1597"/>
      <c r="Q172" s="1636"/>
    </row>
    <row r="173" spans="1:17" s="382" customFormat="1" ht="30">
      <c r="A173" s="1653"/>
      <c r="B173" s="1700"/>
      <c r="C173" s="1701"/>
      <c r="D173" s="1577"/>
      <c r="E173" s="1627"/>
      <c r="F173" s="1595" t="s">
        <v>321</v>
      </c>
      <c r="G173" s="612" t="s">
        <v>1257</v>
      </c>
      <c r="H173" s="613" t="s">
        <v>280</v>
      </c>
      <c r="I173" s="611">
        <v>1</v>
      </c>
      <c r="J173" s="724">
        <v>93000</v>
      </c>
      <c r="K173" s="724">
        <f t="shared" si="15"/>
        <v>93000</v>
      </c>
      <c r="L173" s="401">
        <f t="shared" si="16"/>
        <v>93000</v>
      </c>
      <c r="M173" s="401">
        <v>0</v>
      </c>
      <c r="N173" s="724">
        <v>0</v>
      </c>
      <c r="O173" s="1622"/>
      <c r="P173" s="1597"/>
      <c r="Q173" s="1636"/>
    </row>
    <row r="174" spans="1:17" s="382" customFormat="1">
      <c r="A174" s="1653"/>
      <c r="B174" s="1700"/>
      <c r="C174" s="1701"/>
      <c r="D174" s="1577"/>
      <c r="E174" s="1627"/>
      <c r="F174" s="1595"/>
      <c r="G174" s="612" t="s">
        <v>1260</v>
      </c>
      <c r="H174" s="613" t="s">
        <v>280</v>
      </c>
      <c r="I174" s="611">
        <v>1</v>
      </c>
      <c r="J174" s="724">
        <v>50000</v>
      </c>
      <c r="K174" s="724">
        <f t="shared" si="15"/>
        <v>50000</v>
      </c>
      <c r="L174" s="401">
        <f t="shared" si="16"/>
        <v>50000</v>
      </c>
      <c r="M174" s="401">
        <v>0</v>
      </c>
      <c r="N174" s="724">
        <v>0</v>
      </c>
      <c r="O174" s="1622"/>
      <c r="P174" s="1597"/>
      <c r="Q174" s="1636"/>
    </row>
    <row r="175" spans="1:17" s="382" customFormat="1">
      <c r="A175" s="1653"/>
      <c r="B175" s="1700"/>
      <c r="C175" s="1701"/>
      <c r="D175" s="1577"/>
      <c r="E175" s="1627"/>
      <c r="F175" s="1595"/>
      <c r="G175" s="329" t="s">
        <v>1217</v>
      </c>
      <c r="H175" s="368" t="s">
        <v>280</v>
      </c>
      <c r="I175" s="714">
        <v>1</v>
      </c>
      <c r="J175" s="714">
        <v>41000</v>
      </c>
      <c r="K175" s="724">
        <f>J175</f>
        <v>41000</v>
      </c>
      <c r="L175" s="401">
        <f t="shared" si="16"/>
        <v>41000</v>
      </c>
      <c r="M175" s="401">
        <v>0</v>
      </c>
      <c r="N175" s="724">
        <v>0</v>
      </c>
      <c r="O175" s="1622"/>
      <c r="P175" s="1597"/>
      <c r="Q175" s="1636"/>
    </row>
    <row r="176" spans="1:17" s="382" customFormat="1" ht="30">
      <c r="A176" s="1653"/>
      <c r="B176" s="1700"/>
      <c r="C176" s="1701"/>
      <c r="D176" s="1577"/>
      <c r="E176" s="1627"/>
      <c r="F176" s="1595" t="s">
        <v>322</v>
      </c>
      <c r="G176" s="362" t="s">
        <v>1228</v>
      </c>
      <c r="H176" s="613" t="s">
        <v>160</v>
      </c>
      <c r="I176" s="714">
        <v>6300</v>
      </c>
      <c r="J176" s="724">
        <f>J66</f>
        <v>55</v>
      </c>
      <c r="K176" s="724">
        <f t="shared" ref="K176:K193" si="17">I176*J176</f>
        <v>346500</v>
      </c>
      <c r="L176" s="401">
        <f>K176</f>
        <v>346500</v>
      </c>
      <c r="M176" s="401">
        <v>0</v>
      </c>
      <c r="N176" s="724">
        <v>0</v>
      </c>
      <c r="O176" s="1622"/>
      <c r="P176" s="1597"/>
      <c r="Q176" s="1636"/>
    </row>
    <row r="177" spans="1:17" s="382" customFormat="1" ht="30">
      <c r="A177" s="1653"/>
      <c r="B177" s="1700"/>
      <c r="C177" s="1701"/>
      <c r="D177" s="1577"/>
      <c r="E177" s="1627"/>
      <c r="F177" s="1595"/>
      <c r="G177" s="362" t="s">
        <v>1229</v>
      </c>
      <c r="H177" s="613" t="s">
        <v>160</v>
      </c>
      <c r="I177" s="714">
        <v>2400</v>
      </c>
      <c r="J177" s="724">
        <f>'preturi unitare'!H32</f>
        <v>58</v>
      </c>
      <c r="K177" s="724">
        <f t="shared" si="17"/>
        <v>139200</v>
      </c>
      <c r="L177" s="401">
        <f>K177</f>
        <v>139200</v>
      </c>
      <c r="M177" s="401">
        <v>0</v>
      </c>
      <c r="N177" s="724">
        <v>0</v>
      </c>
      <c r="O177" s="1622"/>
      <c r="P177" s="1597"/>
      <c r="Q177" s="1636"/>
    </row>
    <row r="178" spans="1:17" s="382" customFormat="1" ht="30">
      <c r="A178" s="1653"/>
      <c r="B178" s="1700"/>
      <c r="C178" s="1701"/>
      <c r="D178" s="1577"/>
      <c r="E178" s="1627"/>
      <c r="F178" s="1595"/>
      <c r="G178" s="362" t="s">
        <v>1230</v>
      </c>
      <c r="H178" s="613" t="s">
        <v>160</v>
      </c>
      <c r="I178" s="714">
        <v>1120</v>
      </c>
      <c r="J178" s="724">
        <f>'preturi unitare'!H33</f>
        <v>60</v>
      </c>
      <c r="K178" s="724">
        <f t="shared" si="17"/>
        <v>67200</v>
      </c>
      <c r="L178" s="401">
        <f>K178</f>
        <v>67200</v>
      </c>
      <c r="M178" s="401">
        <v>0</v>
      </c>
      <c r="N178" s="724">
        <v>0</v>
      </c>
      <c r="O178" s="1622"/>
      <c r="P178" s="1597"/>
      <c r="Q178" s="1636"/>
    </row>
    <row r="179" spans="1:17" s="382" customFormat="1" ht="30">
      <c r="A179" s="1653"/>
      <c r="B179" s="1700"/>
      <c r="C179" s="1701"/>
      <c r="D179" s="1577"/>
      <c r="E179" s="1627"/>
      <c r="F179" s="1595"/>
      <c r="G179" s="362" t="s">
        <v>867</v>
      </c>
      <c r="H179" s="613" t="s">
        <v>160</v>
      </c>
      <c r="I179" s="714">
        <v>700</v>
      </c>
      <c r="J179" s="724">
        <f>'preturi unitare'!H22</f>
        <v>64</v>
      </c>
      <c r="K179" s="724">
        <f t="shared" si="17"/>
        <v>44800</v>
      </c>
      <c r="L179" s="401">
        <f>K179</f>
        <v>44800</v>
      </c>
      <c r="M179" s="401">
        <v>0</v>
      </c>
      <c r="N179" s="724">
        <v>0</v>
      </c>
      <c r="O179" s="1622"/>
      <c r="P179" s="1597"/>
      <c r="Q179" s="1636"/>
    </row>
    <row r="180" spans="1:17" s="382" customFormat="1" ht="30">
      <c r="A180" s="1653"/>
      <c r="B180" s="1700"/>
      <c r="C180" s="1701"/>
      <c r="D180" s="1577"/>
      <c r="E180" s="1627"/>
      <c r="F180" s="1595"/>
      <c r="G180" s="362" t="s">
        <v>1212</v>
      </c>
      <c r="H180" s="368" t="s">
        <v>160</v>
      </c>
      <c r="I180" s="714">
        <v>6700</v>
      </c>
      <c r="J180" s="724">
        <f>J176</f>
        <v>55</v>
      </c>
      <c r="K180" s="724">
        <f t="shared" si="17"/>
        <v>368500</v>
      </c>
      <c r="L180" s="401">
        <f>K180</f>
        <v>368500</v>
      </c>
      <c r="M180" s="401">
        <v>0</v>
      </c>
      <c r="N180" s="724">
        <v>0</v>
      </c>
      <c r="O180" s="1622"/>
      <c r="P180" s="1597"/>
      <c r="Q180" s="1636"/>
    </row>
    <row r="181" spans="1:17" s="382" customFormat="1" ht="30">
      <c r="A181" s="1653"/>
      <c r="B181" s="1700"/>
      <c r="C181" s="1701"/>
      <c r="D181" s="1577"/>
      <c r="E181" s="1627"/>
      <c r="F181" s="1595"/>
      <c r="G181" s="362" t="s">
        <v>1213</v>
      </c>
      <c r="H181" s="368" t="s">
        <v>160</v>
      </c>
      <c r="I181" s="714">
        <v>3200</v>
      </c>
      <c r="J181" s="724">
        <f>J177</f>
        <v>58</v>
      </c>
      <c r="K181" s="724">
        <f t="shared" si="17"/>
        <v>185600</v>
      </c>
      <c r="L181" s="401">
        <f t="shared" ref="L181:L193" si="18">K181</f>
        <v>185600</v>
      </c>
      <c r="M181" s="401">
        <v>0</v>
      </c>
      <c r="N181" s="724">
        <v>0</v>
      </c>
      <c r="O181" s="1622"/>
      <c r="P181" s="1597"/>
      <c r="Q181" s="1636"/>
    </row>
    <row r="182" spans="1:17" s="382" customFormat="1" ht="30">
      <c r="A182" s="1653"/>
      <c r="B182" s="1700"/>
      <c r="C182" s="1701"/>
      <c r="D182" s="1577"/>
      <c r="E182" s="1627"/>
      <c r="F182" s="1595"/>
      <c r="G182" s="362" t="s">
        <v>1214</v>
      </c>
      <c r="H182" s="368" t="s">
        <v>160</v>
      </c>
      <c r="I182" s="714">
        <v>1600</v>
      </c>
      <c r="J182" s="724">
        <f>J178</f>
        <v>60</v>
      </c>
      <c r="K182" s="724">
        <f t="shared" si="17"/>
        <v>96000</v>
      </c>
      <c r="L182" s="401">
        <f t="shared" si="18"/>
        <v>96000</v>
      </c>
      <c r="M182" s="401">
        <v>0</v>
      </c>
      <c r="N182" s="724">
        <v>0</v>
      </c>
      <c r="O182" s="1622"/>
      <c r="P182" s="1597"/>
      <c r="Q182" s="1636"/>
    </row>
    <row r="183" spans="1:17" s="382" customFormat="1" ht="30">
      <c r="A183" s="1653"/>
      <c r="B183" s="1700"/>
      <c r="C183" s="1701"/>
      <c r="D183" s="1577"/>
      <c r="E183" s="1627"/>
      <c r="F183" s="1595"/>
      <c r="G183" s="362" t="s">
        <v>868</v>
      </c>
      <c r="H183" s="368" t="s">
        <v>160</v>
      </c>
      <c r="I183" s="714">
        <v>2400</v>
      </c>
      <c r="J183" s="724">
        <f>J179</f>
        <v>64</v>
      </c>
      <c r="K183" s="724">
        <f t="shared" si="17"/>
        <v>153600</v>
      </c>
      <c r="L183" s="401">
        <f t="shared" si="18"/>
        <v>153600</v>
      </c>
      <c r="M183" s="401">
        <v>0</v>
      </c>
      <c r="N183" s="724">
        <v>0</v>
      </c>
      <c r="O183" s="1622"/>
      <c r="P183" s="1597"/>
      <c r="Q183" s="1636"/>
    </row>
    <row r="184" spans="1:17" s="382" customFormat="1" ht="30">
      <c r="A184" s="1653"/>
      <c r="B184" s="1700"/>
      <c r="C184" s="1701"/>
      <c r="D184" s="1577"/>
      <c r="E184" s="1627"/>
      <c r="F184" s="1595"/>
      <c r="G184" s="362" t="s">
        <v>1219</v>
      </c>
      <c r="H184" s="368" t="s">
        <v>160</v>
      </c>
      <c r="I184" s="714">
        <v>9800</v>
      </c>
      <c r="J184" s="724">
        <f t="shared" ref="J184:J190" si="19">J176</f>
        <v>55</v>
      </c>
      <c r="K184" s="724">
        <f t="shared" si="17"/>
        <v>539000</v>
      </c>
      <c r="L184" s="401">
        <f>K184</f>
        <v>539000</v>
      </c>
      <c r="M184" s="401">
        <v>0</v>
      </c>
      <c r="N184" s="724">
        <v>0</v>
      </c>
      <c r="O184" s="1622"/>
      <c r="P184" s="1597"/>
      <c r="Q184" s="1636"/>
    </row>
    <row r="185" spans="1:17" s="382" customFormat="1" ht="30">
      <c r="A185" s="1653"/>
      <c r="B185" s="1700"/>
      <c r="C185" s="1701"/>
      <c r="D185" s="1577"/>
      <c r="E185" s="1627"/>
      <c r="F185" s="1595"/>
      <c r="G185" s="362" t="s">
        <v>1220</v>
      </c>
      <c r="H185" s="368" t="s">
        <v>160</v>
      </c>
      <c r="I185" s="714">
        <v>2400</v>
      </c>
      <c r="J185" s="724">
        <f t="shared" si="19"/>
        <v>58</v>
      </c>
      <c r="K185" s="724">
        <f t="shared" si="17"/>
        <v>139200</v>
      </c>
      <c r="L185" s="401">
        <f t="shared" si="18"/>
        <v>139200</v>
      </c>
      <c r="M185" s="401">
        <v>0</v>
      </c>
      <c r="N185" s="724">
        <v>0</v>
      </c>
      <c r="O185" s="1622"/>
      <c r="P185" s="1597"/>
      <c r="Q185" s="1636"/>
    </row>
    <row r="186" spans="1:17" s="382" customFormat="1" ht="30">
      <c r="A186" s="1653"/>
      <c r="B186" s="1700"/>
      <c r="C186" s="1701"/>
      <c r="D186" s="1577"/>
      <c r="E186" s="1627"/>
      <c r="F186" s="1595"/>
      <c r="G186" s="362" t="s">
        <v>1221</v>
      </c>
      <c r="H186" s="368" t="s">
        <v>160</v>
      </c>
      <c r="I186" s="714">
        <v>110</v>
      </c>
      <c r="J186" s="724">
        <f t="shared" si="19"/>
        <v>60</v>
      </c>
      <c r="K186" s="724">
        <f t="shared" si="17"/>
        <v>6600</v>
      </c>
      <c r="L186" s="401">
        <f t="shared" si="18"/>
        <v>6600</v>
      </c>
      <c r="M186" s="401">
        <v>0</v>
      </c>
      <c r="N186" s="724">
        <v>0</v>
      </c>
      <c r="O186" s="1622"/>
      <c r="P186" s="1597"/>
      <c r="Q186" s="1636"/>
    </row>
    <row r="187" spans="1:17" s="382" customFormat="1" ht="30">
      <c r="A187" s="1653"/>
      <c r="B187" s="1700"/>
      <c r="C187" s="1701"/>
      <c r="D187" s="1577"/>
      <c r="E187" s="1627"/>
      <c r="F187" s="1595"/>
      <c r="G187" s="362" t="s">
        <v>866</v>
      </c>
      <c r="H187" s="368" t="s">
        <v>160</v>
      </c>
      <c r="I187" s="714">
        <v>1600</v>
      </c>
      <c r="J187" s="724">
        <f t="shared" si="19"/>
        <v>64</v>
      </c>
      <c r="K187" s="724">
        <f t="shared" si="17"/>
        <v>102400</v>
      </c>
      <c r="L187" s="401">
        <f t="shared" si="18"/>
        <v>102400</v>
      </c>
      <c r="M187" s="401">
        <v>0</v>
      </c>
      <c r="N187" s="724">
        <v>0</v>
      </c>
      <c r="O187" s="1622"/>
      <c r="P187" s="1597"/>
      <c r="Q187" s="1636"/>
    </row>
    <row r="188" spans="1:17" s="382" customFormat="1" ht="30">
      <c r="A188" s="1653"/>
      <c r="B188" s="1700"/>
      <c r="C188" s="1701"/>
      <c r="D188" s="1577"/>
      <c r="E188" s="1627"/>
      <c r="F188" s="1595"/>
      <c r="G188" s="362" t="s">
        <v>1225</v>
      </c>
      <c r="H188" s="368" t="s">
        <v>160</v>
      </c>
      <c r="I188" s="714">
        <v>2100</v>
      </c>
      <c r="J188" s="724">
        <f t="shared" si="19"/>
        <v>55</v>
      </c>
      <c r="K188" s="724">
        <f t="shared" si="17"/>
        <v>115500</v>
      </c>
      <c r="L188" s="401">
        <f t="shared" si="18"/>
        <v>115500</v>
      </c>
      <c r="M188" s="401">
        <v>0</v>
      </c>
      <c r="N188" s="724">
        <v>0</v>
      </c>
      <c r="O188" s="1622"/>
      <c r="P188" s="1597"/>
      <c r="Q188" s="1636"/>
    </row>
    <row r="189" spans="1:17" s="382" customFormat="1" ht="30">
      <c r="A189" s="1653"/>
      <c r="B189" s="1700"/>
      <c r="C189" s="1701"/>
      <c r="D189" s="1577"/>
      <c r="E189" s="1627"/>
      <c r="F189" s="1595"/>
      <c r="G189" s="362" t="s">
        <v>1226</v>
      </c>
      <c r="H189" s="368" t="s">
        <v>160</v>
      </c>
      <c r="I189" s="714">
        <v>1100</v>
      </c>
      <c r="J189" s="724">
        <f t="shared" si="19"/>
        <v>58</v>
      </c>
      <c r="K189" s="724">
        <f t="shared" si="17"/>
        <v>63800</v>
      </c>
      <c r="L189" s="401">
        <f t="shared" si="18"/>
        <v>63800</v>
      </c>
      <c r="M189" s="401">
        <v>0</v>
      </c>
      <c r="N189" s="724">
        <v>0</v>
      </c>
      <c r="O189" s="1622"/>
      <c r="P189" s="1597"/>
      <c r="Q189" s="1636"/>
    </row>
    <row r="190" spans="1:17" s="382" customFormat="1" ht="30">
      <c r="A190" s="1653"/>
      <c r="B190" s="1700"/>
      <c r="C190" s="1701"/>
      <c r="D190" s="1577"/>
      <c r="E190" s="1627"/>
      <c r="F190" s="1595"/>
      <c r="G190" s="362" t="s">
        <v>1227</v>
      </c>
      <c r="H190" s="368" t="s">
        <v>160</v>
      </c>
      <c r="I190" s="714">
        <v>200</v>
      </c>
      <c r="J190" s="724">
        <f t="shared" si="19"/>
        <v>60</v>
      </c>
      <c r="K190" s="724">
        <f t="shared" si="17"/>
        <v>12000</v>
      </c>
      <c r="L190" s="401">
        <f t="shared" si="18"/>
        <v>12000</v>
      </c>
      <c r="M190" s="401">
        <v>0</v>
      </c>
      <c r="N190" s="724">
        <v>0</v>
      </c>
      <c r="O190" s="1622"/>
      <c r="P190" s="1597"/>
      <c r="Q190" s="1636"/>
    </row>
    <row r="191" spans="1:17" s="382" customFormat="1" ht="49.5" customHeight="1">
      <c r="A191" s="1653"/>
      <c r="B191" s="1700"/>
      <c r="C191" s="1701"/>
      <c r="D191" s="1577"/>
      <c r="E191" s="1627"/>
      <c r="F191" s="1595" t="s">
        <v>279</v>
      </c>
      <c r="G191" s="612" t="s">
        <v>1261</v>
      </c>
      <c r="H191" s="613" t="s">
        <v>280</v>
      </c>
      <c r="I191" s="611">
        <v>1</v>
      </c>
      <c r="J191" s="724">
        <v>223605</v>
      </c>
      <c r="K191" s="724">
        <f t="shared" si="17"/>
        <v>223605</v>
      </c>
      <c r="L191" s="401">
        <f t="shared" si="18"/>
        <v>223605</v>
      </c>
      <c r="M191" s="401">
        <v>0</v>
      </c>
      <c r="N191" s="724">
        <v>0</v>
      </c>
      <c r="O191" s="1622"/>
      <c r="P191" s="1597"/>
      <c r="Q191" s="1636"/>
    </row>
    <row r="192" spans="1:17" s="382" customFormat="1" ht="48.75" customHeight="1">
      <c r="A192" s="1653"/>
      <c r="B192" s="1700"/>
      <c r="C192" s="1701"/>
      <c r="D192" s="1577"/>
      <c r="E192" s="1627"/>
      <c r="F192" s="1595"/>
      <c r="G192" s="329" t="s">
        <v>1218</v>
      </c>
      <c r="H192" s="653" t="s">
        <v>280</v>
      </c>
      <c r="I192" s="714">
        <v>1</v>
      </c>
      <c r="J192" s="714">
        <v>106524</v>
      </c>
      <c r="K192" s="724">
        <f t="shared" si="17"/>
        <v>106524</v>
      </c>
      <c r="L192" s="401">
        <f t="shared" si="18"/>
        <v>106524</v>
      </c>
      <c r="M192" s="401">
        <v>0</v>
      </c>
      <c r="N192" s="724">
        <v>0</v>
      </c>
      <c r="O192" s="1622"/>
      <c r="P192" s="1597"/>
      <c r="Q192" s="1636"/>
    </row>
    <row r="193" spans="1:19" s="382" customFormat="1" ht="50.25" customHeight="1">
      <c r="A193" s="1653"/>
      <c r="B193" s="1700"/>
      <c r="C193" s="1701"/>
      <c r="D193" s="1577"/>
      <c r="E193" s="1598"/>
      <c r="F193" s="1595"/>
      <c r="G193" s="329" t="s">
        <v>1223</v>
      </c>
      <c r="H193" s="653" t="s">
        <v>280</v>
      </c>
      <c r="I193" s="714">
        <v>1</v>
      </c>
      <c r="J193" s="714">
        <v>47125</v>
      </c>
      <c r="K193" s="724">
        <f t="shared" si="17"/>
        <v>47125</v>
      </c>
      <c r="L193" s="401">
        <f t="shared" si="18"/>
        <v>47125</v>
      </c>
      <c r="M193" s="401">
        <v>0</v>
      </c>
      <c r="N193" s="724">
        <v>0</v>
      </c>
      <c r="O193" s="1622"/>
      <c r="P193" s="1597"/>
      <c r="Q193" s="1637"/>
    </row>
    <row r="194" spans="1:19" s="382" customFormat="1">
      <c r="A194" s="820"/>
      <c r="B194" s="722"/>
      <c r="C194" s="722"/>
      <c r="D194" s="722"/>
      <c r="E194" s="722"/>
      <c r="F194" s="721"/>
      <c r="G194" s="329"/>
      <c r="H194" s="653"/>
      <c r="I194" s="714"/>
      <c r="J194" s="714"/>
      <c r="K194" s="714"/>
      <c r="L194" s="334"/>
      <c r="M194" s="334"/>
      <c r="N194" s="377"/>
      <c r="O194" s="415"/>
      <c r="P194" s="387"/>
      <c r="Q194" s="587"/>
    </row>
    <row r="195" spans="1:19" s="382" customFormat="1">
      <c r="A195" s="1469" t="s">
        <v>451</v>
      </c>
      <c r="B195" s="1470"/>
      <c r="C195" s="1470"/>
      <c r="D195" s="1470"/>
      <c r="E195" s="1470"/>
      <c r="F195" s="1470"/>
      <c r="G195" s="1471"/>
      <c r="H195" s="793"/>
      <c r="I195" s="714"/>
      <c r="J195" s="714"/>
      <c r="K195" s="364">
        <f>SUM(K167:K193)</f>
        <v>4463717</v>
      </c>
      <c r="L195" s="365">
        <f>SUM(L167:L193)</f>
        <v>4463717</v>
      </c>
      <c r="M195" s="365">
        <f>SUM(M167:M193)</f>
        <v>0</v>
      </c>
      <c r="N195" s="364">
        <f>SUM(N167:N193)</f>
        <v>0</v>
      </c>
      <c r="O195" s="415"/>
      <c r="P195" s="387"/>
      <c r="Q195" s="587"/>
      <c r="S195" s="629"/>
    </row>
    <row r="196" spans="1:19" s="382" customFormat="1" ht="15.75" thickBot="1">
      <c r="A196" s="645"/>
      <c r="B196" s="397"/>
      <c r="C196" s="397"/>
      <c r="D196" s="397"/>
      <c r="E196" s="397"/>
      <c r="F196" s="711"/>
      <c r="G196" s="417"/>
      <c r="H196" s="732"/>
      <c r="I196" s="732"/>
      <c r="J196" s="732"/>
      <c r="K196" s="732"/>
      <c r="L196" s="426"/>
      <c r="M196" s="426"/>
      <c r="N196" s="418"/>
      <c r="O196" s="419"/>
      <c r="P196" s="419"/>
      <c r="Q196" s="643"/>
    </row>
    <row r="197" spans="1:19" s="382" customFormat="1" ht="60" customHeight="1">
      <c r="A197" s="1608" t="s">
        <v>632</v>
      </c>
      <c r="B197" s="1544" t="s">
        <v>617</v>
      </c>
      <c r="C197" s="1538" t="s">
        <v>610</v>
      </c>
      <c r="D197" s="1538" t="s">
        <v>611</v>
      </c>
      <c r="E197" s="1538" t="s">
        <v>1453</v>
      </c>
      <c r="F197" s="1472" t="s">
        <v>159</v>
      </c>
      <c r="G197" s="1509" t="s">
        <v>110</v>
      </c>
      <c r="H197" s="1477" t="s">
        <v>316</v>
      </c>
      <c r="I197" s="1472" t="s">
        <v>315</v>
      </c>
      <c r="J197" s="1472" t="s">
        <v>317</v>
      </c>
      <c r="K197" s="1472" t="s">
        <v>318</v>
      </c>
      <c r="L197" s="569" t="s">
        <v>1443</v>
      </c>
      <c r="M197" s="569" t="s">
        <v>1444</v>
      </c>
      <c r="N197" s="709" t="s">
        <v>1445</v>
      </c>
      <c r="O197" s="1477" t="s">
        <v>1673</v>
      </c>
      <c r="P197" s="1477" t="s">
        <v>1307</v>
      </c>
      <c r="Q197" s="1495" t="s">
        <v>1454</v>
      </c>
    </row>
    <row r="198" spans="1:19" s="382" customFormat="1" ht="15.75" thickBot="1">
      <c r="A198" s="1609"/>
      <c r="B198" s="1545"/>
      <c r="C198" s="1539"/>
      <c r="D198" s="1539"/>
      <c r="E198" s="1539"/>
      <c r="F198" s="1473"/>
      <c r="G198" s="1510"/>
      <c r="H198" s="1478"/>
      <c r="I198" s="1473"/>
      <c r="J198" s="1473"/>
      <c r="K198" s="1473"/>
      <c r="L198" s="570" t="s">
        <v>805</v>
      </c>
      <c r="M198" s="570" t="s">
        <v>805</v>
      </c>
      <c r="N198" s="710" t="s">
        <v>1149</v>
      </c>
      <c r="O198" s="1478"/>
      <c r="P198" s="1478"/>
      <c r="Q198" s="1496"/>
    </row>
    <row r="199" spans="1:19" s="382" customFormat="1" ht="15" hidden="1" customHeight="1" thickBot="1">
      <c r="A199" s="1652" t="s">
        <v>647</v>
      </c>
      <c r="B199" s="1688" t="s">
        <v>647</v>
      </c>
      <c r="C199" s="1697" t="s">
        <v>647</v>
      </c>
      <c r="D199" s="1698">
        <v>2070</v>
      </c>
      <c r="E199" s="1698">
        <f>1.1*D199</f>
        <v>2277</v>
      </c>
      <c r="F199" s="731"/>
      <c r="G199" s="423"/>
      <c r="H199" s="431"/>
      <c r="I199" s="713"/>
      <c r="J199" s="713"/>
      <c r="K199" s="713"/>
      <c r="L199" s="411"/>
      <c r="M199" s="411"/>
      <c r="N199" s="429"/>
      <c r="O199" s="1079"/>
      <c r="P199" s="1079"/>
      <c r="Q199" s="1078"/>
    </row>
    <row r="200" spans="1:19" s="382" customFormat="1" ht="30">
      <c r="A200" s="1652"/>
      <c r="B200" s="1689"/>
      <c r="C200" s="1691"/>
      <c r="D200" s="1694"/>
      <c r="E200" s="1694"/>
      <c r="F200" s="1023" t="s">
        <v>324</v>
      </c>
      <c r="G200" s="329" t="s">
        <v>870</v>
      </c>
      <c r="H200" s="368" t="s">
        <v>280</v>
      </c>
      <c r="I200" s="714">
        <v>1</v>
      </c>
      <c r="J200" s="714">
        <f>'preturi unitare'!B32</f>
        <v>67000</v>
      </c>
      <c r="K200" s="714">
        <f t="shared" ref="K200:K211" si="20">I200*J200</f>
        <v>67000</v>
      </c>
      <c r="L200" s="334">
        <f t="shared" ref="L200" si="21">K200</f>
        <v>67000</v>
      </c>
      <c r="M200" s="334">
        <v>0</v>
      </c>
      <c r="N200" s="388">
        <v>0</v>
      </c>
      <c r="O200" s="1555">
        <f>SUM(L200:L201)</f>
        <v>1391400</v>
      </c>
      <c r="P200" s="1555">
        <f>O200/E199</f>
        <v>611.06719367588937</v>
      </c>
      <c r="Q200" s="1572" t="s">
        <v>1692</v>
      </c>
    </row>
    <row r="201" spans="1:19" s="382" customFormat="1" ht="50.25" customHeight="1">
      <c r="A201" s="1652"/>
      <c r="B201" s="1689"/>
      <c r="C201" s="1692"/>
      <c r="D201" s="1695"/>
      <c r="E201" s="1695"/>
      <c r="F201" s="1049" t="s">
        <v>325</v>
      </c>
      <c r="G201" s="329" t="s">
        <v>494</v>
      </c>
      <c r="H201" s="807" t="s">
        <v>160</v>
      </c>
      <c r="I201" s="1043">
        <v>8600</v>
      </c>
      <c r="J201" s="1043">
        <f>'preturi unitare'!H40</f>
        <v>154</v>
      </c>
      <c r="K201" s="1043">
        <f>I201*J201</f>
        <v>1324400</v>
      </c>
      <c r="L201" s="334">
        <f>K201</f>
        <v>1324400</v>
      </c>
      <c r="M201" s="334">
        <v>0</v>
      </c>
      <c r="N201" s="388">
        <v>0</v>
      </c>
      <c r="O201" s="1482"/>
      <c r="P201" s="1482"/>
      <c r="Q201" s="1705"/>
    </row>
    <row r="202" spans="1:19" s="382" customFormat="1" ht="61.5" customHeight="1">
      <c r="A202" s="1652"/>
      <c r="B202" s="1689"/>
      <c r="C202" s="1690" t="s">
        <v>1457</v>
      </c>
      <c r="D202" s="1693">
        <v>1064</v>
      </c>
      <c r="E202" s="1693">
        <f>D202</f>
        <v>1064</v>
      </c>
      <c r="F202" s="1018" t="s">
        <v>144</v>
      </c>
      <c r="G202" s="423" t="s">
        <v>869</v>
      </c>
      <c r="H202" s="431" t="s">
        <v>160</v>
      </c>
      <c r="I202" s="1020">
        <v>2400</v>
      </c>
      <c r="J202" s="1021">
        <f>'preturi unitare'!H22</f>
        <v>64</v>
      </c>
      <c r="K202" s="1021">
        <f>I202*J202</f>
        <v>153600</v>
      </c>
      <c r="L202" s="334">
        <v>0</v>
      </c>
      <c r="M202" s="334">
        <f>K202</f>
        <v>153600</v>
      </c>
      <c r="N202" s="388">
        <v>0</v>
      </c>
      <c r="O202" s="1482">
        <f>SUM(K202:K204)</f>
        <v>1375600</v>
      </c>
      <c r="P202" s="1482">
        <f>O202/E202</f>
        <v>1292.8571428571429</v>
      </c>
      <c r="Q202" s="1641" t="s">
        <v>1693</v>
      </c>
    </row>
    <row r="203" spans="1:19" s="382" customFormat="1" ht="30" customHeight="1">
      <c r="A203" s="1652"/>
      <c r="B203" s="1689"/>
      <c r="C203" s="1691"/>
      <c r="D203" s="1694"/>
      <c r="E203" s="1694"/>
      <c r="F203" s="1128" t="s">
        <v>324</v>
      </c>
      <c r="G203" s="329" t="s">
        <v>871</v>
      </c>
      <c r="H203" s="807" t="s">
        <v>280</v>
      </c>
      <c r="I203" s="1021">
        <v>1</v>
      </c>
      <c r="J203" s="1021">
        <f>'preturi unitare'!B32</f>
        <v>67000</v>
      </c>
      <c r="K203" s="1021">
        <f>I203*J203</f>
        <v>67000</v>
      </c>
      <c r="L203" s="334">
        <v>0</v>
      </c>
      <c r="M203" s="334">
        <f t="shared" ref="M203:M210" si="22">K203</f>
        <v>67000</v>
      </c>
      <c r="N203" s="388">
        <v>0</v>
      </c>
      <c r="O203" s="1482"/>
      <c r="P203" s="1482"/>
      <c r="Q203" s="1641"/>
    </row>
    <row r="204" spans="1:19" s="382" customFormat="1" ht="30">
      <c r="A204" s="1652"/>
      <c r="B204" s="1689"/>
      <c r="C204" s="1692"/>
      <c r="D204" s="1695"/>
      <c r="E204" s="1695"/>
      <c r="F204" s="1049" t="s">
        <v>325</v>
      </c>
      <c r="G204" s="329" t="s">
        <v>872</v>
      </c>
      <c r="H204" s="368" t="s">
        <v>160</v>
      </c>
      <c r="I204" s="714">
        <v>7500</v>
      </c>
      <c r="J204" s="714">
        <f>'preturi unitare'!H40</f>
        <v>154</v>
      </c>
      <c r="K204" s="714">
        <f t="shared" si="20"/>
        <v>1155000</v>
      </c>
      <c r="L204" s="334">
        <v>0</v>
      </c>
      <c r="M204" s="334">
        <f t="shared" si="22"/>
        <v>1155000</v>
      </c>
      <c r="N204" s="388">
        <v>0</v>
      </c>
      <c r="O204" s="1482"/>
      <c r="P204" s="1482"/>
      <c r="Q204" s="1641"/>
    </row>
    <row r="205" spans="1:19" s="382" customFormat="1" ht="30">
      <c r="A205" s="1652"/>
      <c r="B205" s="1689" t="s">
        <v>1451</v>
      </c>
      <c r="C205" s="1689" t="s">
        <v>648</v>
      </c>
      <c r="D205" s="1594">
        <v>704</v>
      </c>
      <c r="E205" s="1693">
        <f>D205</f>
        <v>704</v>
      </c>
      <c r="F205" s="1023" t="s">
        <v>323</v>
      </c>
      <c r="G205" s="362" t="s">
        <v>873</v>
      </c>
      <c r="H205" s="807" t="s">
        <v>280</v>
      </c>
      <c r="I205" s="1119">
        <v>1</v>
      </c>
      <c r="J205" s="1119">
        <f>'preturi unitare'!O27</f>
        <v>106500</v>
      </c>
      <c r="K205" s="1119">
        <f t="shared" si="20"/>
        <v>106500</v>
      </c>
      <c r="L205" s="334">
        <v>0</v>
      </c>
      <c r="M205" s="334">
        <f t="shared" si="22"/>
        <v>106500</v>
      </c>
      <c r="N205" s="388">
        <v>0</v>
      </c>
      <c r="O205" s="1482">
        <f>SUM(K205:K206)</f>
        <v>1400100</v>
      </c>
      <c r="P205" s="1482">
        <f>O205/E205</f>
        <v>1988.778409090909</v>
      </c>
      <c r="Q205" s="1641" t="s">
        <v>1582</v>
      </c>
    </row>
    <row r="206" spans="1:19" s="382" customFormat="1" ht="30">
      <c r="A206" s="1652"/>
      <c r="B206" s="1689"/>
      <c r="C206" s="1689"/>
      <c r="D206" s="1594"/>
      <c r="E206" s="1695"/>
      <c r="F206" s="1023" t="s">
        <v>325</v>
      </c>
      <c r="G206" s="362" t="s">
        <v>874</v>
      </c>
      <c r="H206" s="807" t="s">
        <v>160</v>
      </c>
      <c r="I206" s="1119">
        <v>8400</v>
      </c>
      <c r="J206" s="1119">
        <f>J204</f>
        <v>154</v>
      </c>
      <c r="K206" s="1119">
        <f t="shared" si="20"/>
        <v>1293600</v>
      </c>
      <c r="L206" s="399">
        <v>0</v>
      </c>
      <c r="M206" s="334">
        <f t="shared" si="22"/>
        <v>1293600</v>
      </c>
      <c r="N206" s="388">
        <v>0</v>
      </c>
      <c r="O206" s="1482"/>
      <c r="P206" s="1482"/>
      <c r="Q206" s="1641"/>
    </row>
    <row r="207" spans="1:19" s="382" customFormat="1" ht="30">
      <c r="A207" s="1652"/>
      <c r="B207" s="1689" t="s">
        <v>1451</v>
      </c>
      <c r="C207" s="1576" t="s">
        <v>649</v>
      </c>
      <c r="D207" s="1594">
        <f>873</f>
        <v>873</v>
      </c>
      <c r="E207" s="1693">
        <f>D207</f>
        <v>873</v>
      </c>
      <c r="F207" s="1023" t="s">
        <v>323</v>
      </c>
      <c r="G207" s="362" t="s">
        <v>875</v>
      </c>
      <c r="H207" s="807" t="s">
        <v>280</v>
      </c>
      <c r="I207" s="1119">
        <v>1</v>
      </c>
      <c r="J207" s="1119">
        <f>'preturi unitare'!O29</f>
        <v>165500</v>
      </c>
      <c r="K207" s="1119">
        <f t="shared" si="20"/>
        <v>165500</v>
      </c>
      <c r="L207" s="334">
        <v>0</v>
      </c>
      <c r="M207" s="334">
        <f t="shared" si="22"/>
        <v>165500</v>
      </c>
      <c r="N207" s="388">
        <v>0</v>
      </c>
      <c r="O207" s="1482">
        <f>SUM(K207:K208)</f>
        <v>1166500</v>
      </c>
      <c r="P207" s="1482">
        <f>O207/E207</f>
        <v>1336.1970217640321</v>
      </c>
      <c r="Q207" s="1641" t="s">
        <v>1583</v>
      </c>
    </row>
    <row r="208" spans="1:19" s="382" customFormat="1" ht="30">
      <c r="A208" s="1652"/>
      <c r="B208" s="1689"/>
      <c r="C208" s="1576"/>
      <c r="D208" s="1594"/>
      <c r="E208" s="1695"/>
      <c r="F208" s="1023" t="s">
        <v>325</v>
      </c>
      <c r="G208" s="362" t="s">
        <v>876</v>
      </c>
      <c r="H208" s="807" t="s">
        <v>160</v>
      </c>
      <c r="I208" s="1119">
        <v>6500</v>
      </c>
      <c r="J208" s="1119">
        <f>J206</f>
        <v>154</v>
      </c>
      <c r="K208" s="1119">
        <f t="shared" si="20"/>
        <v>1001000</v>
      </c>
      <c r="L208" s="334">
        <v>0</v>
      </c>
      <c r="M208" s="334">
        <f t="shared" si="22"/>
        <v>1001000</v>
      </c>
      <c r="N208" s="388">
        <v>0</v>
      </c>
      <c r="O208" s="1482"/>
      <c r="P208" s="1482"/>
      <c r="Q208" s="1641"/>
    </row>
    <row r="209" spans="1:17" s="382" customFormat="1" ht="30">
      <c r="A209" s="1652"/>
      <c r="B209" s="1689" t="s">
        <v>1451</v>
      </c>
      <c r="C209" s="1576" t="s">
        <v>650</v>
      </c>
      <c r="D209" s="1594">
        <f>1123</f>
        <v>1123</v>
      </c>
      <c r="E209" s="1693">
        <f>D209</f>
        <v>1123</v>
      </c>
      <c r="F209" s="1023" t="s">
        <v>323</v>
      </c>
      <c r="G209" s="362" t="s">
        <v>877</v>
      </c>
      <c r="H209" s="807" t="s">
        <v>280</v>
      </c>
      <c r="I209" s="1119">
        <v>1</v>
      </c>
      <c r="J209" s="1119">
        <f>'preturi unitare'!O28</f>
        <v>120000</v>
      </c>
      <c r="K209" s="1119">
        <f t="shared" si="20"/>
        <v>120000</v>
      </c>
      <c r="L209" s="334">
        <v>0</v>
      </c>
      <c r="M209" s="334">
        <f t="shared" si="22"/>
        <v>120000</v>
      </c>
      <c r="N209" s="388">
        <v>0</v>
      </c>
      <c r="O209" s="1482">
        <f>SUM(K209:K210)</f>
        <v>1660000</v>
      </c>
      <c r="P209" s="1482">
        <f>O209/E209</f>
        <v>1478.1834372217274</v>
      </c>
      <c r="Q209" s="1641" t="s">
        <v>1584</v>
      </c>
    </row>
    <row r="210" spans="1:17" s="382" customFormat="1" ht="30">
      <c r="A210" s="1652"/>
      <c r="B210" s="1689"/>
      <c r="C210" s="1576"/>
      <c r="D210" s="1594"/>
      <c r="E210" s="1695"/>
      <c r="F210" s="1023" t="s">
        <v>325</v>
      </c>
      <c r="G210" s="362" t="s">
        <v>878</v>
      </c>
      <c r="H210" s="807" t="s">
        <v>160</v>
      </c>
      <c r="I210" s="1119">
        <v>10000</v>
      </c>
      <c r="J210" s="1119">
        <f>J208</f>
        <v>154</v>
      </c>
      <c r="K210" s="1119">
        <f t="shared" si="20"/>
        <v>1540000</v>
      </c>
      <c r="L210" s="334">
        <v>0</v>
      </c>
      <c r="M210" s="334">
        <f t="shared" si="22"/>
        <v>1540000</v>
      </c>
      <c r="N210" s="388">
        <v>0</v>
      </c>
      <c r="O210" s="1482"/>
      <c r="P210" s="1482"/>
      <c r="Q210" s="1641"/>
    </row>
    <row r="211" spans="1:17" s="382" customFormat="1" ht="47.25" customHeight="1">
      <c r="A211" s="1703"/>
      <c r="B211" s="740" t="s">
        <v>1451</v>
      </c>
      <c r="C211" s="735" t="s">
        <v>651</v>
      </c>
      <c r="D211" s="1179">
        <v>89</v>
      </c>
      <c r="E211" s="724">
        <f>D211</f>
        <v>89</v>
      </c>
      <c r="F211" s="1023" t="s">
        <v>323</v>
      </c>
      <c r="G211" s="329" t="s">
        <v>763</v>
      </c>
      <c r="H211" s="807" t="s">
        <v>280</v>
      </c>
      <c r="I211" s="1119">
        <v>1</v>
      </c>
      <c r="J211" s="1119">
        <f>'preturi unitare'!L4</f>
        <v>70000</v>
      </c>
      <c r="K211" s="1119">
        <f t="shared" si="20"/>
        <v>70000</v>
      </c>
      <c r="L211" s="334">
        <v>0</v>
      </c>
      <c r="M211" s="334">
        <f>K211</f>
        <v>70000</v>
      </c>
      <c r="N211" s="388">
        <v>0</v>
      </c>
      <c r="O211" s="714">
        <f>K211</f>
        <v>70000</v>
      </c>
      <c r="P211" s="714">
        <f>O211/E211</f>
        <v>786.51685393258424</v>
      </c>
      <c r="Q211" s="978" t="s">
        <v>1585</v>
      </c>
    </row>
    <row r="212" spans="1:17" s="382" customFormat="1">
      <c r="A212" s="820"/>
      <c r="B212" s="722"/>
      <c r="C212" s="722"/>
      <c r="D212" s="722"/>
      <c r="E212" s="722"/>
      <c r="F212" s="721"/>
      <c r="G212" s="384"/>
      <c r="H212" s="368"/>
      <c r="I212" s="368"/>
      <c r="J212" s="368"/>
      <c r="K212" s="368"/>
      <c r="L212" s="368"/>
      <c r="M212" s="368"/>
      <c r="N212" s="368"/>
      <c r="O212" s="387"/>
      <c r="P212" s="387"/>
      <c r="Q212" s="587"/>
    </row>
    <row r="213" spans="1:17" s="382" customFormat="1">
      <c r="A213" s="1501" t="s">
        <v>452</v>
      </c>
      <c r="B213" s="1502"/>
      <c r="C213" s="1502"/>
      <c r="D213" s="1502"/>
      <c r="E213" s="1502"/>
      <c r="F213" s="1502"/>
      <c r="G213" s="1502"/>
      <c r="H213" s="364"/>
      <c r="I213" s="364"/>
      <c r="J213" s="364"/>
      <c r="K213" s="364">
        <f>SUM(K199:K211)</f>
        <v>7063600</v>
      </c>
      <c r="L213" s="365">
        <f>SUM(L199:L211)</f>
        <v>1391400</v>
      </c>
      <c r="M213" s="365">
        <f>SUM(M199:M211)</f>
        <v>5672200</v>
      </c>
      <c r="N213" s="364">
        <f>SUM(N199:N211)</f>
        <v>0</v>
      </c>
      <c r="O213" s="415"/>
      <c r="P213" s="387"/>
      <c r="Q213" s="587"/>
    </row>
    <row r="214" spans="1:17" s="382" customFormat="1">
      <c r="A214" s="820"/>
      <c r="B214" s="742"/>
      <c r="C214" s="742"/>
      <c r="D214" s="742"/>
      <c r="E214" s="742"/>
      <c r="F214" s="721"/>
      <c r="G214" s="328"/>
      <c r="H214" s="714"/>
      <c r="I214" s="714"/>
      <c r="J214" s="714"/>
      <c r="K214" s="714"/>
      <c r="L214" s="334"/>
      <c r="M214" s="334"/>
      <c r="N214" s="714"/>
      <c r="O214" s="387"/>
      <c r="P214" s="387"/>
      <c r="Q214" s="587"/>
    </row>
    <row r="215" spans="1:17" s="382" customFormat="1" ht="15" customHeight="1" thickBot="1">
      <c r="A215" s="1737" t="s">
        <v>453</v>
      </c>
      <c r="B215" s="1738"/>
      <c r="C215" s="1738"/>
      <c r="D215" s="1738"/>
      <c r="E215" s="1738"/>
      <c r="F215" s="1738"/>
      <c r="G215" s="1738"/>
      <c r="H215" s="581"/>
      <c r="I215" s="581"/>
      <c r="J215" s="581"/>
      <c r="K215" s="582">
        <f>K195+K213</f>
        <v>11527317</v>
      </c>
      <c r="L215" s="583">
        <f>L195+L213</f>
        <v>5855117</v>
      </c>
      <c r="M215" s="583">
        <f>M195+M213</f>
        <v>5672200</v>
      </c>
      <c r="N215" s="582">
        <f>N195+N213</f>
        <v>0</v>
      </c>
      <c r="O215" s="580"/>
      <c r="P215" s="580"/>
      <c r="Q215" s="816"/>
    </row>
    <row r="216" spans="1:17" s="382" customFormat="1" ht="15.75" thickBot="1">
      <c r="B216" s="606"/>
      <c r="C216" s="606"/>
      <c r="D216" s="606"/>
      <c r="E216" s="606"/>
      <c r="F216" s="607"/>
      <c r="G216" s="576"/>
      <c r="H216" s="608"/>
      <c r="I216" s="608"/>
      <c r="J216" s="608"/>
      <c r="K216" s="608"/>
      <c r="L216" s="609"/>
      <c r="M216" s="631"/>
      <c r="N216" s="608"/>
      <c r="O216" s="586"/>
      <c r="P216" s="586"/>
      <c r="Q216" s="586"/>
    </row>
    <row r="217" spans="1:17" s="382" customFormat="1" ht="15.75" thickBot="1">
      <c r="A217" s="839"/>
      <c r="B217" s="639"/>
      <c r="C217" s="639"/>
      <c r="D217" s="639"/>
      <c r="E217" s="639"/>
      <c r="F217" s="846"/>
      <c r="G217" s="577" t="s">
        <v>1884</v>
      </c>
      <c r="H217" s="847"/>
      <c r="I217" s="840"/>
      <c r="J217" s="641"/>
      <c r="K217" s="639"/>
      <c r="L217" s="640"/>
      <c r="M217" s="640"/>
      <c r="N217" s="639"/>
      <c r="O217" s="841"/>
      <c r="P217" s="841"/>
      <c r="Q217" s="642"/>
    </row>
    <row r="218" spans="1:17" s="382" customFormat="1" ht="15.75" thickBot="1">
      <c r="A218" s="645"/>
      <c r="B218" s="355"/>
      <c r="C218" s="355"/>
      <c r="D218" s="355"/>
      <c r="E218" s="355"/>
      <c r="F218" s="356"/>
      <c r="G218" s="576"/>
      <c r="H218" s="358"/>
      <c r="I218" s="358"/>
      <c r="J218" s="358"/>
      <c r="K218" s="358"/>
      <c r="L218" s="359"/>
      <c r="M218" s="359"/>
      <c r="N218" s="358"/>
      <c r="O218" s="715"/>
      <c r="P218" s="715"/>
      <c r="Q218" s="643"/>
    </row>
    <row r="219" spans="1:17" s="382" customFormat="1" ht="60" customHeight="1">
      <c r="A219" s="1562" t="s">
        <v>632</v>
      </c>
      <c r="B219" s="1538" t="s">
        <v>676</v>
      </c>
      <c r="C219" s="1538" t="s">
        <v>610</v>
      </c>
      <c r="D219" s="1538" t="s">
        <v>611</v>
      </c>
      <c r="E219" s="1538" t="s">
        <v>1453</v>
      </c>
      <c r="F219" s="1472" t="s">
        <v>159</v>
      </c>
      <c r="G219" s="1509" t="s">
        <v>110</v>
      </c>
      <c r="H219" s="1477" t="s">
        <v>316</v>
      </c>
      <c r="I219" s="1472" t="s">
        <v>315</v>
      </c>
      <c r="J219" s="1472" t="s">
        <v>317</v>
      </c>
      <c r="K219" s="1472" t="s">
        <v>318</v>
      </c>
      <c r="L219" s="569" t="s">
        <v>1443</v>
      </c>
      <c r="M219" s="569" t="s">
        <v>1444</v>
      </c>
      <c r="N219" s="709" t="s">
        <v>1445</v>
      </c>
      <c r="O219" s="1477" t="s">
        <v>1673</v>
      </c>
      <c r="P219" s="1477" t="s">
        <v>1307</v>
      </c>
      <c r="Q219" s="1495" t="s">
        <v>1454</v>
      </c>
    </row>
    <row r="220" spans="1:17" s="382" customFormat="1" ht="15.75" thickBot="1">
      <c r="A220" s="1563"/>
      <c r="B220" s="1539"/>
      <c r="C220" s="1539"/>
      <c r="D220" s="1539"/>
      <c r="E220" s="1539"/>
      <c r="F220" s="1473"/>
      <c r="G220" s="1510"/>
      <c r="H220" s="1478"/>
      <c r="I220" s="1473"/>
      <c r="J220" s="1473"/>
      <c r="K220" s="1473"/>
      <c r="L220" s="570" t="s">
        <v>805</v>
      </c>
      <c r="M220" s="570" t="s">
        <v>805</v>
      </c>
      <c r="N220" s="710" t="s">
        <v>1149</v>
      </c>
      <c r="O220" s="1478"/>
      <c r="P220" s="1478"/>
      <c r="Q220" s="1496"/>
    </row>
    <row r="221" spans="1:17" s="382" customFormat="1" ht="45">
      <c r="A221" s="1652" t="s">
        <v>657</v>
      </c>
      <c r="B221" s="1599" t="s">
        <v>612</v>
      </c>
      <c r="C221" s="1599" t="s">
        <v>1777</v>
      </c>
      <c r="D221" s="1598">
        <f>425+172+599</f>
        <v>1196</v>
      </c>
      <c r="E221" s="1610" t="s">
        <v>1451</v>
      </c>
      <c r="F221" s="1466" t="s">
        <v>320</v>
      </c>
      <c r="G221" s="412" t="s">
        <v>1247</v>
      </c>
      <c r="H221" s="414" t="s">
        <v>160</v>
      </c>
      <c r="I221" s="713">
        <v>2600</v>
      </c>
      <c r="J221" s="713">
        <f>'preturi unitare'!H23</f>
        <v>68</v>
      </c>
      <c r="K221" s="713">
        <f t="shared" ref="K221:K233" si="23">I221*J221</f>
        <v>176800</v>
      </c>
      <c r="L221" s="411">
        <f>K221</f>
        <v>176800</v>
      </c>
      <c r="M221" s="411">
        <v>0</v>
      </c>
      <c r="N221" s="430">
        <v>0</v>
      </c>
      <c r="O221" s="1484">
        <f>SUM(L221:L233)</f>
        <v>1676060</v>
      </c>
      <c r="P221" s="1484">
        <f>O221/D221</f>
        <v>1401.3879598662206</v>
      </c>
      <c r="Q221" s="1572" t="s">
        <v>1586</v>
      </c>
    </row>
    <row r="222" spans="1:17" s="382" customFormat="1" ht="45">
      <c r="A222" s="1653"/>
      <c r="B222" s="1567"/>
      <c r="C222" s="1567"/>
      <c r="D222" s="1577"/>
      <c r="E222" s="1627"/>
      <c r="F222" s="1467"/>
      <c r="G222" s="329" t="s">
        <v>1248</v>
      </c>
      <c r="H222" s="368" t="s">
        <v>160</v>
      </c>
      <c r="I222" s="714">
        <v>3800</v>
      </c>
      <c r="J222" s="714">
        <f>'preturi unitare'!H26</f>
        <v>117</v>
      </c>
      <c r="K222" s="714">
        <f t="shared" si="23"/>
        <v>444600</v>
      </c>
      <c r="L222" s="334">
        <f t="shared" ref="L222:L233" si="24">K222</f>
        <v>444600</v>
      </c>
      <c r="M222" s="334">
        <v>0</v>
      </c>
      <c r="N222" s="385">
        <v>0</v>
      </c>
      <c r="O222" s="1483"/>
      <c r="P222" s="1483"/>
      <c r="Q222" s="1636"/>
    </row>
    <row r="223" spans="1:17" s="382" customFormat="1" ht="45">
      <c r="A223" s="1653"/>
      <c r="B223" s="1567"/>
      <c r="C223" s="1567"/>
      <c r="D223" s="1577"/>
      <c r="E223" s="1627"/>
      <c r="F223" s="1468"/>
      <c r="G223" s="329" t="s">
        <v>1778</v>
      </c>
      <c r="H223" s="807" t="s">
        <v>160</v>
      </c>
      <c r="I223" s="1060">
        <v>4800</v>
      </c>
      <c r="J223" s="1060">
        <f>'preturi unitare'!H22</f>
        <v>64</v>
      </c>
      <c r="K223" s="1060">
        <f>I223*J223</f>
        <v>307200</v>
      </c>
      <c r="L223" s="334">
        <f>K223</f>
        <v>307200</v>
      </c>
      <c r="M223" s="334">
        <v>0</v>
      </c>
      <c r="N223" s="385">
        <v>0</v>
      </c>
      <c r="O223" s="1483"/>
      <c r="P223" s="1483"/>
      <c r="Q223" s="1636"/>
    </row>
    <row r="224" spans="1:17" s="382" customFormat="1" ht="30">
      <c r="A224" s="1653"/>
      <c r="B224" s="1567"/>
      <c r="C224" s="1701"/>
      <c r="D224" s="1577"/>
      <c r="E224" s="1627"/>
      <c r="F224" s="1600" t="s">
        <v>322</v>
      </c>
      <c r="G224" s="362" t="s">
        <v>1249</v>
      </c>
      <c r="H224" s="368" t="s">
        <v>160</v>
      </c>
      <c r="I224" s="714">
        <v>1800</v>
      </c>
      <c r="J224" s="714">
        <f>J184</f>
        <v>55</v>
      </c>
      <c r="K224" s="714">
        <f t="shared" si="23"/>
        <v>99000</v>
      </c>
      <c r="L224" s="334">
        <f t="shared" si="24"/>
        <v>99000</v>
      </c>
      <c r="M224" s="334">
        <v>0</v>
      </c>
      <c r="N224" s="385">
        <v>0</v>
      </c>
      <c r="O224" s="1483"/>
      <c r="P224" s="1483"/>
      <c r="Q224" s="1636"/>
    </row>
    <row r="225" spans="1:19" s="382" customFormat="1" ht="30">
      <c r="A225" s="1653"/>
      <c r="B225" s="1567"/>
      <c r="C225" s="1701"/>
      <c r="D225" s="1577"/>
      <c r="E225" s="1627"/>
      <c r="F225" s="1600"/>
      <c r="G225" s="362" t="s">
        <v>1250</v>
      </c>
      <c r="H225" s="368" t="s">
        <v>160</v>
      </c>
      <c r="I225" s="714">
        <v>1050</v>
      </c>
      <c r="J225" s="714">
        <f>'preturi unitare'!H32</f>
        <v>58</v>
      </c>
      <c r="K225" s="714">
        <f t="shared" si="23"/>
        <v>60900</v>
      </c>
      <c r="L225" s="334">
        <f t="shared" si="24"/>
        <v>60900</v>
      </c>
      <c r="M225" s="334">
        <v>0</v>
      </c>
      <c r="N225" s="385">
        <v>0</v>
      </c>
      <c r="O225" s="1483"/>
      <c r="P225" s="1483"/>
      <c r="Q225" s="1636"/>
    </row>
    <row r="226" spans="1:19" s="382" customFormat="1" ht="30">
      <c r="A226" s="1653"/>
      <c r="B226" s="1567"/>
      <c r="C226" s="1701"/>
      <c r="D226" s="1577"/>
      <c r="E226" s="1627"/>
      <c r="F226" s="1600"/>
      <c r="G226" s="362" t="s">
        <v>1251</v>
      </c>
      <c r="H226" s="368" t="s">
        <v>160</v>
      </c>
      <c r="I226" s="714">
        <v>20</v>
      </c>
      <c r="J226" s="714">
        <f>'preturi unitare'!H33</f>
        <v>60</v>
      </c>
      <c r="K226" s="714">
        <f t="shared" si="23"/>
        <v>1200</v>
      </c>
      <c r="L226" s="334">
        <f t="shared" si="24"/>
        <v>1200</v>
      </c>
      <c r="M226" s="334">
        <v>0</v>
      </c>
      <c r="N226" s="385">
        <v>0</v>
      </c>
      <c r="O226" s="1483"/>
      <c r="P226" s="1483"/>
      <c r="Q226" s="1636"/>
    </row>
    <row r="227" spans="1:19" s="382" customFormat="1" ht="30">
      <c r="A227" s="1653"/>
      <c r="B227" s="1567"/>
      <c r="C227" s="1701"/>
      <c r="D227" s="1577"/>
      <c r="E227" s="1627"/>
      <c r="F227" s="1600"/>
      <c r="G227" s="362" t="s">
        <v>903</v>
      </c>
      <c r="H227" s="368" t="s">
        <v>160</v>
      </c>
      <c r="I227" s="714">
        <v>1000</v>
      </c>
      <c r="J227" s="714">
        <f>'preturi unitare'!H22</f>
        <v>64</v>
      </c>
      <c r="K227" s="714">
        <f t="shared" si="23"/>
        <v>64000</v>
      </c>
      <c r="L227" s="334">
        <f t="shared" si="24"/>
        <v>64000</v>
      </c>
      <c r="M227" s="334">
        <v>0</v>
      </c>
      <c r="N227" s="385">
        <v>0</v>
      </c>
      <c r="O227" s="1483"/>
      <c r="P227" s="1483"/>
      <c r="Q227" s="1636"/>
    </row>
    <row r="228" spans="1:19" s="382" customFormat="1" ht="30">
      <c r="A228" s="1653"/>
      <c r="B228" s="1567"/>
      <c r="C228" s="1701"/>
      <c r="D228" s="1577"/>
      <c r="E228" s="1627"/>
      <c r="F228" s="1600"/>
      <c r="G228" s="362" t="s">
        <v>1252</v>
      </c>
      <c r="H228" s="368" t="s">
        <v>160</v>
      </c>
      <c r="I228" s="714">
        <v>810</v>
      </c>
      <c r="J228" s="714">
        <f>'preturi unitare'!H23</f>
        <v>68</v>
      </c>
      <c r="K228" s="714">
        <f t="shared" si="23"/>
        <v>55080</v>
      </c>
      <c r="L228" s="334">
        <f t="shared" si="24"/>
        <v>55080</v>
      </c>
      <c r="M228" s="334">
        <v>0</v>
      </c>
      <c r="N228" s="385">
        <v>0</v>
      </c>
      <c r="O228" s="1483"/>
      <c r="P228" s="1483"/>
      <c r="Q228" s="1636"/>
    </row>
    <row r="229" spans="1:19" s="382" customFormat="1" ht="30">
      <c r="A229" s="1653"/>
      <c r="B229" s="1567"/>
      <c r="C229" s="1701"/>
      <c r="D229" s="1577"/>
      <c r="E229" s="1627"/>
      <c r="F229" s="1600"/>
      <c r="G229" s="362" t="s">
        <v>1253</v>
      </c>
      <c r="H229" s="368" t="s">
        <v>160</v>
      </c>
      <c r="I229" s="714">
        <v>3000</v>
      </c>
      <c r="J229" s="714">
        <f>J224</f>
        <v>55</v>
      </c>
      <c r="K229" s="714">
        <f t="shared" si="23"/>
        <v>165000</v>
      </c>
      <c r="L229" s="334">
        <f t="shared" si="24"/>
        <v>165000</v>
      </c>
      <c r="M229" s="334">
        <v>0</v>
      </c>
      <c r="N229" s="385">
        <v>0</v>
      </c>
      <c r="O229" s="1483"/>
      <c r="P229" s="1483"/>
      <c r="Q229" s="1636"/>
    </row>
    <row r="230" spans="1:19" s="382" customFormat="1" ht="30">
      <c r="A230" s="1653"/>
      <c r="B230" s="1567"/>
      <c r="C230" s="1701"/>
      <c r="D230" s="1577"/>
      <c r="E230" s="1627"/>
      <c r="F230" s="1600"/>
      <c r="G230" s="362" t="s">
        <v>1254</v>
      </c>
      <c r="H230" s="368" t="s">
        <v>160</v>
      </c>
      <c r="I230" s="714">
        <v>360</v>
      </c>
      <c r="J230" s="714">
        <f>J225</f>
        <v>58</v>
      </c>
      <c r="K230" s="714">
        <f t="shared" si="23"/>
        <v>20880</v>
      </c>
      <c r="L230" s="334">
        <f t="shared" si="24"/>
        <v>20880</v>
      </c>
      <c r="M230" s="334">
        <v>0</v>
      </c>
      <c r="N230" s="385">
        <v>0</v>
      </c>
      <c r="O230" s="1483"/>
      <c r="P230" s="1483"/>
      <c r="Q230" s="1636"/>
    </row>
    <row r="231" spans="1:19" s="382" customFormat="1" ht="30">
      <c r="A231" s="1653"/>
      <c r="B231" s="1567"/>
      <c r="C231" s="1701"/>
      <c r="D231" s="1577"/>
      <c r="E231" s="1627"/>
      <c r="F231" s="1600"/>
      <c r="G231" s="362" t="s">
        <v>1255</v>
      </c>
      <c r="H231" s="368" t="s">
        <v>160</v>
      </c>
      <c r="I231" s="714">
        <v>3700</v>
      </c>
      <c r="J231" s="714">
        <f>J226</f>
        <v>60</v>
      </c>
      <c r="K231" s="714">
        <f t="shared" si="23"/>
        <v>222000</v>
      </c>
      <c r="L231" s="334">
        <f t="shared" si="24"/>
        <v>222000</v>
      </c>
      <c r="M231" s="334">
        <v>0</v>
      </c>
      <c r="N231" s="385">
        <v>0</v>
      </c>
      <c r="O231" s="1483"/>
      <c r="P231" s="1483"/>
      <c r="Q231" s="1636"/>
    </row>
    <row r="232" spans="1:19" s="382" customFormat="1" ht="30">
      <c r="A232" s="1653"/>
      <c r="B232" s="1567"/>
      <c r="C232" s="1701"/>
      <c r="D232" s="1577"/>
      <c r="E232" s="1627"/>
      <c r="F232" s="1600"/>
      <c r="G232" s="362" t="s">
        <v>902</v>
      </c>
      <c r="H232" s="368" t="s">
        <v>160</v>
      </c>
      <c r="I232" s="714">
        <v>450</v>
      </c>
      <c r="J232" s="714">
        <f>J227</f>
        <v>64</v>
      </c>
      <c r="K232" s="714">
        <f t="shared" si="23"/>
        <v>28800</v>
      </c>
      <c r="L232" s="334">
        <f t="shared" si="24"/>
        <v>28800</v>
      </c>
      <c r="M232" s="334">
        <v>0</v>
      </c>
      <c r="N232" s="385">
        <v>0</v>
      </c>
      <c r="O232" s="1483"/>
      <c r="P232" s="1483"/>
      <c r="Q232" s="1636"/>
    </row>
    <row r="233" spans="1:19" s="382" customFormat="1" ht="30">
      <c r="A233" s="1653"/>
      <c r="B233" s="1567"/>
      <c r="C233" s="1701"/>
      <c r="D233" s="1577"/>
      <c r="E233" s="1598"/>
      <c r="F233" s="1600"/>
      <c r="G233" s="362" t="s">
        <v>1256</v>
      </c>
      <c r="H233" s="368" t="s">
        <v>160</v>
      </c>
      <c r="I233" s="714">
        <v>450</v>
      </c>
      <c r="J233" s="714">
        <f>J228</f>
        <v>68</v>
      </c>
      <c r="K233" s="714">
        <f t="shared" si="23"/>
        <v>30600</v>
      </c>
      <c r="L233" s="334">
        <f t="shared" si="24"/>
        <v>30600</v>
      </c>
      <c r="M233" s="334">
        <v>0</v>
      </c>
      <c r="N233" s="385">
        <v>0</v>
      </c>
      <c r="O233" s="1483"/>
      <c r="P233" s="1483"/>
      <c r="Q233" s="1637"/>
    </row>
    <row r="234" spans="1:19" s="382" customFormat="1">
      <c r="A234" s="820"/>
      <c r="B234" s="326"/>
      <c r="C234" s="326"/>
      <c r="D234" s="326"/>
      <c r="E234" s="326"/>
      <c r="F234" s="326"/>
      <c r="G234" s="326"/>
      <c r="H234" s="326"/>
      <c r="I234" s="714"/>
      <c r="J234" s="714"/>
      <c r="K234" s="714"/>
      <c r="L234" s="334"/>
      <c r="M234" s="334"/>
      <c r="N234" s="326"/>
      <c r="O234" s="729"/>
      <c r="P234" s="729"/>
      <c r="Q234" s="587"/>
    </row>
    <row r="235" spans="1:19" s="382" customFormat="1">
      <c r="A235" s="1529" t="s">
        <v>530</v>
      </c>
      <c r="B235" s="1530"/>
      <c r="C235" s="1530"/>
      <c r="D235" s="1530"/>
      <c r="E235" s="1530"/>
      <c r="F235" s="1530"/>
      <c r="G235" s="1531"/>
      <c r="H235" s="793"/>
      <c r="I235" s="714"/>
      <c r="J235" s="714"/>
      <c r="K235" s="364">
        <f>SUM(K221:K233)</f>
        <v>1676060</v>
      </c>
      <c r="L235" s="365">
        <f>SUM(L221:L233)</f>
        <v>1676060</v>
      </c>
      <c r="M235" s="365">
        <f>SUM(M221:M233)</f>
        <v>0</v>
      </c>
      <c r="N235" s="408">
        <f>SUM(N221:N233)</f>
        <v>0</v>
      </c>
      <c r="O235" s="714"/>
      <c r="P235" s="714"/>
      <c r="Q235" s="587"/>
      <c r="S235" s="629"/>
    </row>
    <row r="236" spans="1:19" s="382" customFormat="1" ht="15.75" thickBot="1">
      <c r="A236" s="833"/>
      <c r="B236" s="854"/>
      <c r="C236" s="854"/>
      <c r="D236" s="854"/>
      <c r="E236" s="854"/>
      <c r="F236" s="854"/>
      <c r="G236" s="854"/>
      <c r="H236" s="823"/>
      <c r="I236" s="732"/>
      <c r="J236" s="732"/>
      <c r="K236" s="575"/>
      <c r="L236" s="426"/>
      <c r="M236" s="426"/>
      <c r="N236" s="855"/>
      <c r="O236" s="732"/>
      <c r="P236" s="732"/>
      <c r="Q236" s="643"/>
    </row>
    <row r="237" spans="1:19" s="382" customFormat="1" ht="60" customHeight="1">
      <c r="A237" s="1608" t="s">
        <v>632</v>
      </c>
      <c r="B237" s="1544" t="s">
        <v>617</v>
      </c>
      <c r="C237" s="1538" t="s">
        <v>610</v>
      </c>
      <c r="D237" s="1538" t="s">
        <v>611</v>
      </c>
      <c r="E237" s="1538" t="s">
        <v>1453</v>
      </c>
      <c r="F237" s="1472" t="s">
        <v>159</v>
      </c>
      <c r="G237" s="1509" t="s">
        <v>110</v>
      </c>
      <c r="H237" s="1477" t="s">
        <v>316</v>
      </c>
      <c r="I237" s="1472" t="s">
        <v>315</v>
      </c>
      <c r="J237" s="1472" t="s">
        <v>317</v>
      </c>
      <c r="K237" s="1472" t="s">
        <v>318</v>
      </c>
      <c r="L237" s="569" t="s">
        <v>1443</v>
      </c>
      <c r="M237" s="569" t="s">
        <v>1444</v>
      </c>
      <c r="N237" s="709" t="s">
        <v>1445</v>
      </c>
      <c r="O237" s="1477" t="s">
        <v>1673</v>
      </c>
      <c r="P237" s="1477" t="s">
        <v>1307</v>
      </c>
      <c r="Q237" s="1495" t="s">
        <v>1454</v>
      </c>
    </row>
    <row r="238" spans="1:19" s="382" customFormat="1" ht="15.75" thickBot="1">
      <c r="A238" s="1609"/>
      <c r="B238" s="1545"/>
      <c r="C238" s="1539"/>
      <c r="D238" s="1539"/>
      <c r="E238" s="1539"/>
      <c r="F238" s="1473"/>
      <c r="G238" s="1510"/>
      <c r="H238" s="1478"/>
      <c r="I238" s="1473"/>
      <c r="J238" s="1473"/>
      <c r="K238" s="1473"/>
      <c r="L238" s="570" t="s">
        <v>805</v>
      </c>
      <c r="M238" s="570" t="s">
        <v>805</v>
      </c>
      <c r="N238" s="710" t="s">
        <v>1149</v>
      </c>
      <c r="O238" s="1478"/>
      <c r="P238" s="1478"/>
      <c r="Q238" s="1496"/>
    </row>
    <row r="239" spans="1:19" s="382" customFormat="1" ht="30">
      <c r="A239" s="1678" t="s">
        <v>657</v>
      </c>
      <c r="B239" s="1626" t="s">
        <v>1451</v>
      </c>
      <c r="C239" s="1589" t="s">
        <v>671</v>
      </c>
      <c r="D239" s="1607">
        <v>425</v>
      </c>
      <c r="E239" s="1627">
        <f>D239</f>
        <v>425</v>
      </c>
      <c r="F239" s="731" t="s">
        <v>323</v>
      </c>
      <c r="G239" s="423" t="s">
        <v>904</v>
      </c>
      <c r="H239" s="414" t="s">
        <v>280</v>
      </c>
      <c r="I239" s="713">
        <v>1</v>
      </c>
      <c r="J239" s="713">
        <f>'preturi unitare'!O25</f>
        <v>92000</v>
      </c>
      <c r="K239" s="713">
        <f>I239*J239</f>
        <v>92000</v>
      </c>
      <c r="L239" s="432">
        <v>0</v>
      </c>
      <c r="M239" s="411">
        <f>K239</f>
        <v>92000</v>
      </c>
      <c r="N239" s="1280">
        <v>0</v>
      </c>
      <c r="O239" s="1484">
        <f>SUM(M239:M240)</f>
        <v>815800</v>
      </c>
      <c r="P239" s="1484">
        <f>O239/D239</f>
        <v>1919.5294117647059</v>
      </c>
      <c r="Q239" s="1641" t="s">
        <v>1587</v>
      </c>
    </row>
    <row r="240" spans="1:19" s="382" customFormat="1" ht="30">
      <c r="A240" s="1679"/>
      <c r="B240" s="1612"/>
      <c r="C240" s="1590"/>
      <c r="D240" s="1577"/>
      <c r="E240" s="1598"/>
      <c r="F240" s="721" t="s">
        <v>325</v>
      </c>
      <c r="G240" s="362" t="s">
        <v>905</v>
      </c>
      <c r="H240" s="368" t="s">
        <v>160</v>
      </c>
      <c r="I240" s="714">
        <v>4700</v>
      </c>
      <c r="J240" s="714">
        <f>'preturi unitare'!H40</f>
        <v>154</v>
      </c>
      <c r="K240" s="714">
        <f>I240*J240</f>
        <v>723800</v>
      </c>
      <c r="L240" s="409">
        <v>0</v>
      </c>
      <c r="M240" s="334">
        <f>K240</f>
        <v>723800</v>
      </c>
      <c r="N240" s="1283">
        <v>0</v>
      </c>
      <c r="O240" s="1483"/>
      <c r="P240" s="1483"/>
      <c r="Q240" s="1641"/>
    </row>
    <row r="241" spans="1:17" s="382" customFormat="1" ht="45">
      <c r="A241" s="1679"/>
      <c r="B241" s="718" t="s">
        <v>1451</v>
      </c>
      <c r="C241" s="722" t="s">
        <v>672</v>
      </c>
      <c r="D241" s="728">
        <v>172</v>
      </c>
      <c r="E241" s="728">
        <f>D241</f>
        <v>172</v>
      </c>
      <c r="F241" s="721" t="s">
        <v>323</v>
      </c>
      <c r="G241" s="329" t="s">
        <v>598</v>
      </c>
      <c r="H241" s="807" t="s">
        <v>1322</v>
      </c>
      <c r="I241" s="714">
        <v>1</v>
      </c>
      <c r="J241" s="714">
        <f>'preturi unitare'!L4</f>
        <v>70000</v>
      </c>
      <c r="K241" s="714">
        <f>I241*J241</f>
        <v>70000</v>
      </c>
      <c r="L241" s="409">
        <v>0</v>
      </c>
      <c r="M241" s="334">
        <f>K241</f>
        <v>70000</v>
      </c>
      <c r="N241" s="1283">
        <v>0</v>
      </c>
      <c r="O241" s="729">
        <f>K241</f>
        <v>70000</v>
      </c>
      <c r="P241" s="729">
        <f>O241/D241</f>
        <v>406.97674418604652</v>
      </c>
      <c r="Q241" s="978" t="s">
        <v>1588</v>
      </c>
    </row>
    <row r="242" spans="1:17" s="382" customFormat="1">
      <c r="A242" s="856"/>
      <c r="B242" s="722"/>
      <c r="C242" s="722"/>
      <c r="D242" s="722"/>
      <c r="E242" s="722"/>
      <c r="F242" s="721"/>
      <c r="G242" s="384"/>
      <c r="H242" s="714"/>
      <c r="I242" s="714"/>
      <c r="J242" s="714"/>
      <c r="K242" s="405"/>
      <c r="L242" s="405"/>
      <c r="M242" s="405"/>
      <c r="N242" s="405"/>
      <c r="O242" s="729"/>
      <c r="P242" s="729"/>
      <c r="Q242" s="979"/>
    </row>
    <row r="243" spans="1:17" s="382" customFormat="1">
      <c r="A243" s="1532" t="s">
        <v>376</v>
      </c>
      <c r="B243" s="1533"/>
      <c r="C243" s="1533"/>
      <c r="D243" s="1533"/>
      <c r="E243" s="1533"/>
      <c r="F243" s="1533"/>
      <c r="G243" s="1534"/>
      <c r="H243" s="364"/>
      <c r="I243" s="364"/>
      <c r="J243" s="364"/>
      <c r="K243" s="364">
        <f>SUM(K239:K241)</f>
        <v>885800</v>
      </c>
      <c r="L243" s="598">
        <f>SUM(L239:L241)</f>
        <v>0</v>
      </c>
      <c r="M243" s="365">
        <f>SUM(M239:M241)</f>
        <v>885800</v>
      </c>
      <c r="N243" s="364">
        <f>SUM(N239:N241)</f>
        <v>0</v>
      </c>
      <c r="O243" s="714"/>
      <c r="P243" s="714"/>
      <c r="Q243" s="979"/>
    </row>
    <row r="244" spans="1:17" s="382" customFormat="1">
      <c r="A244" s="856"/>
      <c r="B244" s="742"/>
      <c r="C244" s="742"/>
      <c r="D244" s="742"/>
      <c r="E244" s="742"/>
      <c r="F244" s="721"/>
      <c r="G244" s="328"/>
      <c r="H244" s="714"/>
      <c r="I244" s="714"/>
      <c r="J244" s="714"/>
      <c r="K244" s="714"/>
      <c r="L244" s="334"/>
      <c r="M244" s="334"/>
      <c r="N244" s="714"/>
      <c r="O244" s="714"/>
      <c r="P244" s="714"/>
      <c r="Q244" s="587"/>
    </row>
    <row r="245" spans="1:17" s="382" customFormat="1" ht="15" customHeight="1" thickBot="1">
      <c r="A245" s="1474" t="s">
        <v>377</v>
      </c>
      <c r="B245" s="1475"/>
      <c r="C245" s="1475"/>
      <c r="D245" s="1475"/>
      <c r="E245" s="1475"/>
      <c r="F245" s="1475"/>
      <c r="G245" s="1476"/>
      <c r="H245" s="581"/>
      <c r="I245" s="581"/>
      <c r="J245" s="581"/>
      <c r="K245" s="582">
        <f>K243+K235</f>
        <v>2561860</v>
      </c>
      <c r="L245" s="583">
        <f>L243+L235</f>
        <v>1676060</v>
      </c>
      <c r="M245" s="583">
        <f>M243+M235</f>
        <v>885800</v>
      </c>
      <c r="N245" s="582">
        <f>N243+N235</f>
        <v>0</v>
      </c>
      <c r="O245" s="581"/>
      <c r="P245" s="581"/>
      <c r="Q245" s="816"/>
    </row>
    <row r="246" spans="1:17" s="382" customFormat="1" ht="15.75" thickBot="1">
      <c r="B246" s="606"/>
      <c r="C246" s="606"/>
      <c r="D246" s="606"/>
      <c r="E246" s="606"/>
      <c r="F246" s="607"/>
      <c r="G246" s="576"/>
      <c r="H246" s="608"/>
      <c r="I246" s="608"/>
      <c r="J246" s="608"/>
      <c r="K246" s="608"/>
      <c r="L246" s="609"/>
      <c r="M246" s="609"/>
      <c r="N246" s="608"/>
      <c r="O246" s="586"/>
      <c r="P246" s="586"/>
      <c r="Q246" s="586"/>
    </row>
    <row r="247" spans="1:17" s="382" customFormat="1" ht="15.75" thickBot="1">
      <c r="A247" s="839"/>
      <c r="B247" s="639"/>
      <c r="C247" s="639"/>
      <c r="D247" s="639"/>
      <c r="E247" s="639"/>
      <c r="F247" s="846"/>
      <c r="G247" s="577" t="s">
        <v>1885</v>
      </c>
      <c r="H247" s="847"/>
      <c r="I247" s="840"/>
      <c r="J247" s="641"/>
      <c r="K247" s="639"/>
      <c r="L247" s="640"/>
      <c r="M247" s="640"/>
      <c r="N247" s="639"/>
      <c r="O247" s="841"/>
      <c r="P247" s="841"/>
      <c r="Q247" s="642"/>
    </row>
    <row r="248" spans="1:17" s="382" customFormat="1" ht="15.75" thickBot="1">
      <c r="A248" s="645"/>
      <c r="B248" s="355"/>
      <c r="C248" s="355"/>
      <c r="D248" s="355"/>
      <c r="E248" s="355"/>
      <c r="F248" s="356"/>
      <c r="G248" s="576"/>
      <c r="H248" s="358"/>
      <c r="I248" s="358"/>
      <c r="J248" s="358"/>
      <c r="K248" s="358"/>
      <c r="L248" s="359"/>
      <c r="M248" s="359"/>
      <c r="N248" s="358"/>
      <c r="O248" s="715"/>
      <c r="P248" s="715"/>
      <c r="Q248" s="643"/>
    </row>
    <row r="249" spans="1:17" s="382" customFormat="1" ht="60" customHeight="1">
      <c r="A249" s="1562" t="s">
        <v>632</v>
      </c>
      <c r="B249" s="1538" t="s">
        <v>676</v>
      </c>
      <c r="C249" s="1538" t="s">
        <v>610</v>
      </c>
      <c r="D249" s="1538" t="s">
        <v>611</v>
      </c>
      <c r="E249" s="1538" t="s">
        <v>1453</v>
      </c>
      <c r="F249" s="1472" t="s">
        <v>159</v>
      </c>
      <c r="G249" s="1509" t="s">
        <v>110</v>
      </c>
      <c r="H249" s="1477" t="s">
        <v>316</v>
      </c>
      <c r="I249" s="1472" t="s">
        <v>315</v>
      </c>
      <c r="J249" s="1472" t="s">
        <v>317</v>
      </c>
      <c r="K249" s="1472" t="s">
        <v>318</v>
      </c>
      <c r="L249" s="569" t="s">
        <v>1443</v>
      </c>
      <c r="M249" s="569" t="s">
        <v>1444</v>
      </c>
      <c r="N249" s="709" t="s">
        <v>1445</v>
      </c>
      <c r="O249" s="1477" t="s">
        <v>1673</v>
      </c>
      <c r="P249" s="1477" t="s">
        <v>1307</v>
      </c>
      <c r="Q249" s="1495" t="s">
        <v>1454</v>
      </c>
    </row>
    <row r="250" spans="1:17" s="382" customFormat="1" ht="15.75" thickBot="1">
      <c r="A250" s="1563"/>
      <c r="B250" s="1539"/>
      <c r="C250" s="1539"/>
      <c r="D250" s="1539"/>
      <c r="E250" s="1539"/>
      <c r="F250" s="1473"/>
      <c r="G250" s="1510"/>
      <c r="H250" s="1478"/>
      <c r="I250" s="1473"/>
      <c r="J250" s="1473"/>
      <c r="K250" s="1473"/>
      <c r="L250" s="570" t="s">
        <v>805</v>
      </c>
      <c r="M250" s="570" t="s">
        <v>805</v>
      </c>
      <c r="N250" s="710" t="s">
        <v>1149</v>
      </c>
      <c r="O250" s="1478"/>
      <c r="P250" s="1478"/>
      <c r="Q250" s="1496"/>
    </row>
    <row r="251" spans="1:17" s="382" customFormat="1" ht="45">
      <c r="A251" s="1678" t="s">
        <v>697</v>
      </c>
      <c r="B251" s="1680" t="s">
        <v>1455</v>
      </c>
      <c r="C251" s="1599" t="s">
        <v>698</v>
      </c>
      <c r="D251" s="1598">
        <f>169+140</f>
        <v>309</v>
      </c>
      <c r="E251" s="1610" t="s">
        <v>1451</v>
      </c>
      <c r="F251" s="999" t="s">
        <v>329</v>
      </c>
      <c r="G251" s="412" t="s">
        <v>1313</v>
      </c>
      <c r="H251" s="422" t="s">
        <v>280</v>
      </c>
      <c r="I251" s="713">
        <v>1</v>
      </c>
      <c r="J251" s="713">
        <f>'preturi unitare'!K4</f>
        <v>89000</v>
      </c>
      <c r="K251" s="713">
        <f t="shared" ref="K251:K266" si="25">I251*J251</f>
        <v>89000</v>
      </c>
      <c r="L251" s="411">
        <f>K251</f>
        <v>89000</v>
      </c>
      <c r="M251" s="411">
        <v>0</v>
      </c>
      <c r="N251" s="433">
        <v>0</v>
      </c>
      <c r="O251" s="1465">
        <f>SUM(L251:L254)</f>
        <v>306900</v>
      </c>
      <c r="P251" s="1465">
        <f>O251/D251</f>
        <v>993.20388349514565</v>
      </c>
      <c r="Q251" s="1572" t="s">
        <v>1589</v>
      </c>
    </row>
    <row r="252" spans="1:17" s="382" customFormat="1" ht="30">
      <c r="A252" s="1679"/>
      <c r="B252" s="1590"/>
      <c r="C252" s="1567"/>
      <c r="D252" s="1577"/>
      <c r="E252" s="1627"/>
      <c r="F252" s="1600" t="s">
        <v>322</v>
      </c>
      <c r="G252" s="362" t="s">
        <v>941</v>
      </c>
      <c r="H252" s="653" t="s">
        <v>160</v>
      </c>
      <c r="I252" s="714">
        <v>2600</v>
      </c>
      <c r="J252" s="714">
        <f>J258</f>
        <v>64</v>
      </c>
      <c r="K252" s="714">
        <f t="shared" si="25"/>
        <v>166400</v>
      </c>
      <c r="L252" s="334">
        <f>K252</f>
        <v>166400</v>
      </c>
      <c r="M252" s="334">
        <v>0</v>
      </c>
      <c r="N252" s="376">
        <v>0</v>
      </c>
      <c r="O252" s="1482"/>
      <c r="P252" s="1482"/>
      <c r="Q252" s="1638"/>
    </row>
    <row r="253" spans="1:17" s="382" customFormat="1" ht="30">
      <c r="A253" s="1679"/>
      <c r="B253" s="1590"/>
      <c r="C253" s="1567"/>
      <c r="D253" s="1577"/>
      <c r="E253" s="1627"/>
      <c r="F253" s="1600"/>
      <c r="G253" s="362" t="s">
        <v>942</v>
      </c>
      <c r="H253" s="653" t="s">
        <v>160</v>
      </c>
      <c r="I253" s="714">
        <v>2500</v>
      </c>
      <c r="J253" s="714">
        <f>J252</f>
        <v>64</v>
      </c>
      <c r="K253" s="714">
        <f t="shared" si="25"/>
        <v>160000</v>
      </c>
      <c r="L253" s="334">
        <v>0</v>
      </c>
      <c r="M253" s="334">
        <f>K253</f>
        <v>160000</v>
      </c>
      <c r="N253" s="376">
        <v>0</v>
      </c>
      <c r="O253" s="1482"/>
      <c r="P253" s="1482"/>
      <c r="Q253" s="1638"/>
    </row>
    <row r="254" spans="1:17" s="382" customFormat="1" ht="47.25">
      <c r="A254" s="1679"/>
      <c r="B254" s="1590"/>
      <c r="C254" s="1567"/>
      <c r="D254" s="1577"/>
      <c r="E254" s="1598"/>
      <c r="F254" s="1000" t="s">
        <v>279</v>
      </c>
      <c r="G254" s="329" t="s">
        <v>943</v>
      </c>
      <c r="H254" s="653" t="s">
        <v>280</v>
      </c>
      <c r="I254" s="714">
        <v>1</v>
      </c>
      <c r="J254" s="714">
        <f>'preturi unitare'!E23+'preturi unitare'!E6</f>
        <v>51500</v>
      </c>
      <c r="K254" s="714">
        <f t="shared" si="25"/>
        <v>51500</v>
      </c>
      <c r="L254" s="334">
        <f>K254</f>
        <v>51500</v>
      </c>
      <c r="M254" s="334">
        <v>0</v>
      </c>
      <c r="N254" s="376">
        <v>0</v>
      </c>
      <c r="O254" s="1482"/>
      <c r="P254" s="1482"/>
      <c r="Q254" s="1639"/>
    </row>
    <row r="255" spans="1:17" s="382" customFormat="1" ht="45">
      <c r="A255" s="1679"/>
      <c r="B255" s="1488" t="s">
        <v>1455</v>
      </c>
      <c r="C255" s="1567" t="s">
        <v>699</v>
      </c>
      <c r="D255" s="1577">
        <f>503+154+265</f>
        <v>922</v>
      </c>
      <c r="E255" s="1606" t="s">
        <v>1451</v>
      </c>
      <c r="F255" s="1000" t="s">
        <v>329</v>
      </c>
      <c r="G255" s="329" t="s">
        <v>944</v>
      </c>
      <c r="H255" s="653" t="s">
        <v>280</v>
      </c>
      <c r="I255" s="714">
        <v>2</v>
      </c>
      <c r="J255" s="714">
        <f>J968</f>
        <v>89000</v>
      </c>
      <c r="K255" s="714">
        <f t="shared" si="25"/>
        <v>178000</v>
      </c>
      <c r="L255" s="334">
        <f>K255</f>
        <v>178000</v>
      </c>
      <c r="M255" s="334">
        <v>0</v>
      </c>
      <c r="N255" s="376">
        <v>0</v>
      </c>
      <c r="O255" s="1483">
        <f>SUM(L255:L259)</f>
        <v>916500</v>
      </c>
      <c r="P255" s="1483">
        <f>O255/D255</f>
        <v>994.03470715835147</v>
      </c>
      <c r="Q255" s="1581" t="s">
        <v>1590</v>
      </c>
    </row>
    <row r="256" spans="1:17" s="382" customFormat="1" ht="30">
      <c r="A256" s="1679"/>
      <c r="B256" s="1590"/>
      <c r="C256" s="1567"/>
      <c r="D256" s="1577"/>
      <c r="E256" s="1627"/>
      <c r="F256" s="1600" t="s">
        <v>322</v>
      </c>
      <c r="G256" s="362" t="s">
        <v>945</v>
      </c>
      <c r="H256" s="368" t="s">
        <v>160</v>
      </c>
      <c r="I256" s="714">
        <v>4500</v>
      </c>
      <c r="J256" s="714">
        <f>J1090</f>
        <v>64</v>
      </c>
      <c r="K256" s="714">
        <f t="shared" si="25"/>
        <v>288000</v>
      </c>
      <c r="L256" s="334">
        <f>(I256/2)*J256</f>
        <v>144000</v>
      </c>
      <c r="M256" s="334">
        <f>L256</f>
        <v>144000</v>
      </c>
      <c r="N256" s="376">
        <v>0</v>
      </c>
      <c r="O256" s="1483"/>
      <c r="P256" s="1483"/>
      <c r="Q256" s="1636"/>
    </row>
    <row r="257" spans="1:19" s="382" customFormat="1" ht="30">
      <c r="A257" s="1679"/>
      <c r="B257" s="1590"/>
      <c r="C257" s="1567"/>
      <c r="D257" s="1577"/>
      <c r="E257" s="1627"/>
      <c r="F257" s="1600"/>
      <c r="G257" s="362" t="s">
        <v>946</v>
      </c>
      <c r="H257" s="368" t="s">
        <v>160</v>
      </c>
      <c r="I257" s="714">
        <v>6000</v>
      </c>
      <c r="J257" s="714">
        <f>J263</f>
        <v>64</v>
      </c>
      <c r="K257" s="714">
        <f t="shared" si="25"/>
        <v>384000</v>
      </c>
      <c r="L257" s="334">
        <f>K257</f>
        <v>384000</v>
      </c>
      <c r="M257" s="334">
        <v>0</v>
      </c>
      <c r="N257" s="376">
        <v>0</v>
      </c>
      <c r="O257" s="1483"/>
      <c r="P257" s="1483"/>
      <c r="Q257" s="1636"/>
    </row>
    <row r="258" spans="1:19" s="382" customFormat="1" ht="30">
      <c r="A258" s="1679"/>
      <c r="B258" s="1590"/>
      <c r="C258" s="1567"/>
      <c r="D258" s="1577"/>
      <c r="E258" s="1627"/>
      <c r="F258" s="1600"/>
      <c r="G258" s="362" t="s">
        <v>947</v>
      </c>
      <c r="H258" s="368" t="s">
        <v>160</v>
      </c>
      <c r="I258" s="714">
        <v>4500</v>
      </c>
      <c r="J258" s="368">
        <f>J257</f>
        <v>64</v>
      </c>
      <c r="K258" s="714">
        <f t="shared" si="25"/>
        <v>288000</v>
      </c>
      <c r="L258" s="334">
        <f>(I258/2)*J258</f>
        <v>144000</v>
      </c>
      <c r="M258" s="334">
        <f>L258</f>
        <v>144000</v>
      </c>
      <c r="N258" s="376">
        <v>0</v>
      </c>
      <c r="O258" s="1483"/>
      <c r="P258" s="1483"/>
      <c r="Q258" s="1636"/>
    </row>
    <row r="259" spans="1:19" s="382" customFormat="1" ht="48.75" customHeight="1">
      <c r="A259" s="1679"/>
      <c r="B259" s="1590"/>
      <c r="C259" s="1567"/>
      <c r="D259" s="1577"/>
      <c r="E259" s="1598"/>
      <c r="F259" s="1000" t="s">
        <v>279</v>
      </c>
      <c r="G259" s="329" t="s">
        <v>1873</v>
      </c>
      <c r="H259" s="653" t="s">
        <v>280</v>
      </c>
      <c r="I259" s="714">
        <v>1</v>
      </c>
      <c r="J259" s="714">
        <v>66500</v>
      </c>
      <c r="K259" s="714">
        <f t="shared" si="25"/>
        <v>66500</v>
      </c>
      <c r="L259" s="334">
        <f t="shared" ref="L259:L266" si="26">K259</f>
        <v>66500</v>
      </c>
      <c r="M259" s="334">
        <v>0</v>
      </c>
      <c r="N259" s="376">
        <v>0</v>
      </c>
      <c r="O259" s="1483"/>
      <c r="P259" s="1483"/>
      <c r="Q259" s="1637"/>
    </row>
    <row r="260" spans="1:19" s="382" customFormat="1" ht="45">
      <c r="A260" s="1679"/>
      <c r="B260" s="1684" t="s">
        <v>1455</v>
      </c>
      <c r="C260" s="1567" t="s">
        <v>700</v>
      </c>
      <c r="D260" s="1577">
        <f>641+343</f>
        <v>984</v>
      </c>
      <c r="E260" s="1606" t="s">
        <v>1451</v>
      </c>
      <c r="F260" s="1000" t="s">
        <v>320</v>
      </c>
      <c r="G260" s="329" t="s">
        <v>948</v>
      </c>
      <c r="H260" s="368" t="s">
        <v>160</v>
      </c>
      <c r="I260" s="714">
        <v>3100</v>
      </c>
      <c r="J260" s="714">
        <f>'preturi unitare'!H23</f>
        <v>68</v>
      </c>
      <c r="K260" s="714">
        <f t="shared" si="25"/>
        <v>210800</v>
      </c>
      <c r="L260" s="334">
        <f t="shared" si="26"/>
        <v>210800</v>
      </c>
      <c r="M260" s="334">
        <v>0</v>
      </c>
      <c r="N260" s="376">
        <v>0</v>
      </c>
      <c r="O260" s="1685">
        <f>SUM(L260:L266)</f>
        <v>1252100</v>
      </c>
      <c r="P260" s="1685">
        <f>O260/(D260+D265)</f>
        <v>967.61978361669242</v>
      </c>
      <c r="Q260" s="1581" t="s">
        <v>1591</v>
      </c>
    </row>
    <row r="261" spans="1:19" s="382" customFormat="1" ht="30">
      <c r="A261" s="1679"/>
      <c r="B261" s="1587"/>
      <c r="C261" s="1567"/>
      <c r="D261" s="1577"/>
      <c r="E261" s="1627"/>
      <c r="F261" s="1000" t="s">
        <v>321</v>
      </c>
      <c r="G261" s="329" t="s">
        <v>949</v>
      </c>
      <c r="H261" s="368" t="s">
        <v>280</v>
      </c>
      <c r="I261" s="714">
        <v>1</v>
      </c>
      <c r="J261" s="714">
        <f>J1092</f>
        <v>70000</v>
      </c>
      <c r="K261" s="714">
        <f t="shared" si="25"/>
        <v>70000</v>
      </c>
      <c r="L261" s="334">
        <f t="shared" si="26"/>
        <v>70000</v>
      </c>
      <c r="M261" s="334">
        <v>0</v>
      </c>
      <c r="N261" s="376">
        <v>0</v>
      </c>
      <c r="O261" s="1686"/>
      <c r="P261" s="1686"/>
      <c r="Q261" s="1636"/>
    </row>
    <row r="262" spans="1:19" s="382" customFormat="1" ht="30">
      <c r="A262" s="1679"/>
      <c r="B262" s="1587"/>
      <c r="C262" s="1567"/>
      <c r="D262" s="1577"/>
      <c r="E262" s="1627"/>
      <c r="F262" s="1600" t="s">
        <v>322</v>
      </c>
      <c r="G262" s="362" t="s">
        <v>950</v>
      </c>
      <c r="H262" s="368" t="s">
        <v>160</v>
      </c>
      <c r="I262" s="714">
        <v>5900</v>
      </c>
      <c r="J262" s="714">
        <f>J1089</f>
        <v>64</v>
      </c>
      <c r="K262" s="714">
        <f t="shared" si="25"/>
        <v>377600</v>
      </c>
      <c r="L262" s="334">
        <f t="shared" si="26"/>
        <v>377600</v>
      </c>
      <c r="M262" s="334">
        <v>0</v>
      </c>
      <c r="N262" s="376">
        <v>0</v>
      </c>
      <c r="O262" s="1686"/>
      <c r="P262" s="1686"/>
      <c r="Q262" s="1636"/>
    </row>
    <row r="263" spans="1:19" s="382" customFormat="1" ht="30">
      <c r="A263" s="1679"/>
      <c r="B263" s="1587"/>
      <c r="C263" s="1567"/>
      <c r="D263" s="1577"/>
      <c r="E263" s="1627"/>
      <c r="F263" s="1600"/>
      <c r="G263" s="362" t="s">
        <v>951</v>
      </c>
      <c r="H263" s="368" t="s">
        <v>160</v>
      </c>
      <c r="I263" s="714">
        <v>3500</v>
      </c>
      <c r="J263" s="714">
        <f>J1093</f>
        <v>64</v>
      </c>
      <c r="K263" s="714">
        <f t="shared" si="25"/>
        <v>224000</v>
      </c>
      <c r="L263" s="334">
        <f t="shared" si="26"/>
        <v>224000</v>
      </c>
      <c r="M263" s="334">
        <v>0</v>
      </c>
      <c r="N263" s="376">
        <v>0</v>
      </c>
      <c r="O263" s="1686"/>
      <c r="P263" s="1686"/>
      <c r="Q263" s="1636"/>
    </row>
    <row r="264" spans="1:19" s="382" customFormat="1" ht="47.25">
      <c r="A264" s="1679"/>
      <c r="B264" s="1587"/>
      <c r="C264" s="1567"/>
      <c r="D264" s="1577"/>
      <c r="E264" s="1598"/>
      <c r="F264" s="1000" t="s">
        <v>279</v>
      </c>
      <c r="G264" s="329" t="s">
        <v>952</v>
      </c>
      <c r="H264" s="653" t="s">
        <v>280</v>
      </c>
      <c r="I264" s="714">
        <v>1</v>
      </c>
      <c r="J264" s="714">
        <f>66500</f>
        <v>66500</v>
      </c>
      <c r="K264" s="714">
        <f t="shared" si="25"/>
        <v>66500</v>
      </c>
      <c r="L264" s="334">
        <f t="shared" si="26"/>
        <v>66500</v>
      </c>
      <c r="M264" s="334">
        <v>0</v>
      </c>
      <c r="N264" s="376">
        <v>0</v>
      </c>
      <c r="O264" s="1686"/>
      <c r="P264" s="1686"/>
      <c r="Q264" s="1636"/>
    </row>
    <row r="265" spans="1:19" s="382" customFormat="1" ht="45">
      <c r="A265" s="1679"/>
      <c r="B265" s="1587"/>
      <c r="C265" s="1488" t="s">
        <v>701</v>
      </c>
      <c r="D265" s="1577">
        <v>310</v>
      </c>
      <c r="E265" s="1606" t="s">
        <v>1451</v>
      </c>
      <c r="F265" s="1000" t="s">
        <v>320</v>
      </c>
      <c r="G265" s="329" t="s">
        <v>953</v>
      </c>
      <c r="H265" s="368" t="s">
        <v>160</v>
      </c>
      <c r="I265" s="714">
        <v>2200</v>
      </c>
      <c r="J265" s="714">
        <f>'preturi unitare'!H23</f>
        <v>68</v>
      </c>
      <c r="K265" s="714">
        <f t="shared" si="25"/>
        <v>149600</v>
      </c>
      <c r="L265" s="334">
        <f t="shared" si="26"/>
        <v>149600</v>
      </c>
      <c r="M265" s="334">
        <v>0</v>
      </c>
      <c r="N265" s="376">
        <v>0</v>
      </c>
      <c r="O265" s="1686"/>
      <c r="P265" s="1686"/>
      <c r="Q265" s="1636"/>
    </row>
    <row r="266" spans="1:19" s="382" customFormat="1" ht="30">
      <c r="A266" s="1679"/>
      <c r="B266" s="1487"/>
      <c r="C266" s="1488"/>
      <c r="D266" s="1577"/>
      <c r="E266" s="1598"/>
      <c r="F266" s="1000" t="s">
        <v>322</v>
      </c>
      <c r="G266" s="362" t="s">
        <v>954</v>
      </c>
      <c r="H266" s="368" t="s">
        <v>160</v>
      </c>
      <c r="I266" s="714">
        <v>2400</v>
      </c>
      <c r="J266" s="714">
        <f>J1088</f>
        <v>64</v>
      </c>
      <c r="K266" s="714">
        <f t="shared" si="25"/>
        <v>153600</v>
      </c>
      <c r="L266" s="334">
        <f t="shared" si="26"/>
        <v>153600</v>
      </c>
      <c r="M266" s="334">
        <v>0</v>
      </c>
      <c r="N266" s="376">
        <v>0</v>
      </c>
      <c r="O266" s="1484"/>
      <c r="P266" s="1484"/>
      <c r="Q266" s="1637"/>
    </row>
    <row r="267" spans="1:19" s="382" customFormat="1">
      <c r="A267" s="820"/>
      <c r="B267" s="326"/>
      <c r="C267" s="326"/>
      <c r="D267" s="326"/>
      <c r="E267" s="326"/>
      <c r="F267" s="326"/>
      <c r="G267" s="326"/>
      <c r="H267" s="326"/>
      <c r="I267" s="714"/>
      <c r="J267" s="714"/>
      <c r="K267" s="714"/>
      <c r="L267" s="334"/>
      <c r="M267" s="334"/>
      <c r="N267" s="326"/>
      <c r="O267" s="729"/>
      <c r="P267" s="729"/>
      <c r="Q267" s="587"/>
    </row>
    <row r="268" spans="1:19" s="382" customFormat="1">
      <c r="A268" s="1469" t="s">
        <v>574</v>
      </c>
      <c r="B268" s="1470"/>
      <c r="C268" s="1470"/>
      <c r="D268" s="1470"/>
      <c r="E268" s="1470"/>
      <c r="F268" s="1470"/>
      <c r="G268" s="1471"/>
      <c r="H268" s="793"/>
      <c r="I268" s="714"/>
      <c r="J268" s="714"/>
      <c r="K268" s="364">
        <f>SUM(K251:K266)</f>
        <v>2923500</v>
      </c>
      <c r="L268" s="365">
        <f>SUM(L251:L266)</f>
        <v>2475500</v>
      </c>
      <c r="M268" s="365">
        <f>SUM(M251:M266)</f>
        <v>448000</v>
      </c>
      <c r="N268" s="364">
        <f>SUM(N251:N266)</f>
        <v>0</v>
      </c>
      <c r="O268" s="714"/>
      <c r="P268" s="714"/>
      <c r="Q268" s="587"/>
      <c r="S268" s="629"/>
    </row>
    <row r="269" spans="1:19" s="382" customFormat="1" ht="15.75" thickBot="1">
      <c r="A269" s="833"/>
      <c r="B269" s="397"/>
      <c r="C269" s="397"/>
      <c r="D269" s="397"/>
      <c r="E269" s="397"/>
      <c r="F269" s="711"/>
      <c r="G269" s="417"/>
      <c r="H269" s="732"/>
      <c r="I269" s="732"/>
      <c r="J269" s="732"/>
      <c r="K269" s="732"/>
      <c r="L269" s="426"/>
      <c r="M269" s="426"/>
      <c r="N269" s="418"/>
      <c r="O269" s="715"/>
      <c r="P269" s="715"/>
      <c r="Q269" s="643"/>
    </row>
    <row r="270" spans="1:19" s="382" customFormat="1" ht="60" customHeight="1">
      <c r="A270" s="1608" t="s">
        <v>632</v>
      </c>
      <c r="B270" s="1544" t="s">
        <v>617</v>
      </c>
      <c r="C270" s="1538" t="s">
        <v>610</v>
      </c>
      <c r="D270" s="1538" t="s">
        <v>611</v>
      </c>
      <c r="E270" s="1538" t="s">
        <v>1453</v>
      </c>
      <c r="F270" s="1472" t="s">
        <v>159</v>
      </c>
      <c r="G270" s="1509" t="s">
        <v>110</v>
      </c>
      <c r="H270" s="1477" t="s">
        <v>316</v>
      </c>
      <c r="I270" s="1472" t="s">
        <v>315</v>
      </c>
      <c r="J270" s="1472" t="s">
        <v>317</v>
      </c>
      <c r="K270" s="1472" t="s">
        <v>318</v>
      </c>
      <c r="L270" s="569" t="s">
        <v>1443</v>
      </c>
      <c r="M270" s="569" t="s">
        <v>1444</v>
      </c>
      <c r="N270" s="709" t="s">
        <v>1445</v>
      </c>
      <c r="O270" s="1477" t="s">
        <v>1673</v>
      </c>
      <c r="P270" s="1477" t="s">
        <v>1307</v>
      </c>
      <c r="Q270" s="1495" t="s">
        <v>1454</v>
      </c>
    </row>
    <row r="271" spans="1:19" s="382" customFormat="1" ht="15.75" thickBot="1">
      <c r="A271" s="1609"/>
      <c r="B271" s="1545"/>
      <c r="C271" s="1539"/>
      <c r="D271" s="1539"/>
      <c r="E271" s="1539"/>
      <c r="F271" s="1473"/>
      <c r="G271" s="1510"/>
      <c r="H271" s="1478"/>
      <c r="I271" s="1473"/>
      <c r="J271" s="1473"/>
      <c r="K271" s="1473"/>
      <c r="L271" s="570" t="s">
        <v>805</v>
      </c>
      <c r="M271" s="570" t="s">
        <v>805</v>
      </c>
      <c r="N271" s="710" t="s">
        <v>1149</v>
      </c>
      <c r="O271" s="1478"/>
      <c r="P271" s="1478"/>
      <c r="Q271" s="1496"/>
    </row>
    <row r="272" spans="1:19" s="382" customFormat="1" ht="30">
      <c r="A272" s="1678" t="s">
        <v>697</v>
      </c>
      <c r="B272" s="1680" t="s">
        <v>1451</v>
      </c>
      <c r="C272" s="1599" t="s">
        <v>700</v>
      </c>
      <c r="D272" s="1598">
        <f>641+343</f>
        <v>984</v>
      </c>
      <c r="E272" s="1681">
        <f>D272</f>
        <v>984</v>
      </c>
      <c r="F272" s="731" t="s">
        <v>323</v>
      </c>
      <c r="G272" s="412" t="s">
        <v>955</v>
      </c>
      <c r="H272" s="414" t="s">
        <v>280</v>
      </c>
      <c r="I272" s="713">
        <v>1</v>
      </c>
      <c r="J272" s="713">
        <f>'preturi unitare'!O29</f>
        <v>165500</v>
      </c>
      <c r="K272" s="713">
        <f t="shared" ref="K272:K283" si="27">I272*J272</f>
        <v>165500</v>
      </c>
      <c r="L272" s="411">
        <v>0</v>
      </c>
      <c r="M272" s="411">
        <f>K272</f>
        <v>165500</v>
      </c>
      <c r="N272" s="420">
        <v>0</v>
      </c>
      <c r="O272" s="1484">
        <f>SUM(K272:K274)</f>
        <v>1613100</v>
      </c>
      <c r="P272" s="1484">
        <f>O272/D272</f>
        <v>1639.3292682926829</v>
      </c>
      <c r="Q272" s="1572" t="s">
        <v>1592</v>
      </c>
    </row>
    <row r="273" spans="1:17" s="382" customFormat="1" ht="30">
      <c r="A273" s="1679"/>
      <c r="B273" s="1590"/>
      <c r="C273" s="1567"/>
      <c r="D273" s="1577"/>
      <c r="E273" s="1627"/>
      <c r="F273" s="1687" t="s">
        <v>325</v>
      </c>
      <c r="G273" s="329" t="s">
        <v>956</v>
      </c>
      <c r="H273" s="368" t="s">
        <v>160</v>
      </c>
      <c r="I273" s="714">
        <f>I262</f>
        <v>5900</v>
      </c>
      <c r="J273" s="714">
        <f>'preturi unitare'!H40</f>
        <v>154</v>
      </c>
      <c r="K273" s="714">
        <f t="shared" si="27"/>
        <v>908600</v>
      </c>
      <c r="L273" s="334">
        <v>0</v>
      </c>
      <c r="M273" s="411">
        <f t="shared" ref="M273:M278" si="28">K273</f>
        <v>908600</v>
      </c>
      <c r="N273" s="420">
        <v>0</v>
      </c>
      <c r="O273" s="1483"/>
      <c r="P273" s="1483"/>
      <c r="Q273" s="1636"/>
    </row>
    <row r="274" spans="1:17" s="382" customFormat="1" ht="30">
      <c r="A274" s="1679"/>
      <c r="B274" s="1590"/>
      <c r="C274" s="1567"/>
      <c r="D274" s="1577"/>
      <c r="E274" s="1598"/>
      <c r="F274" s="1468"/>
      <c r="G274" s="329" t="s">
        <v>957</v>
      </c>
      <c r="H274" s="368" t="s">
        <v>160</v>
      </c>
      <c r="I274" s="714">
        <f>I263</f>
        <v>3500</v>
      </c>
      <c r="J274" s="714">
        <f>J273</f>
        <v>154</v>
      </c>
      <c r="K274" s="714">
        <f t="shared" si="27"/>
        <v>539000</v>
      </c>
      <c r="L274" s="334">
        <v>0</v>
      </c>
      <c r="M274" s="411">
        <f t="shared" si="28"/>
        <v>539000</v>
      </c>
      <c r="N274" s="420">
        <v>0</v>
      </c>
      <c r="O274" s="1483"/>
      <c r="P274" s="1483"/>
      <c r="Q274" s="1637"/>
    </row>
    <row r="275" spans="1:17" s="382" customFormat="1" ht="51" customHeight="1">
      <c r="A275" s="1679"/>
      <c r="B275" s="722" t="s">
        <v>1451</v>
      </c>
      <c r="C275" s="718" t="s">
        <v>702</v>
      </c>
      <c r="D275" s="728">
        <v>215</v>
      </c>
      <c r="E275" s="728">
        <f>D275</f>
        <v>215</v>
      </c>
      <c r="F275" s="721" t="s">
        <v>323</v>
      </c>
      <c r="G275" s="329" t="s">
        <v>1314</v>
      </c>
      <c r="H275" s="807" t="s">
        <v>1322</v>
      </c>
      <c r="I275" s="714">
        <v>1</v>
      </c>
      <c r="J275" s="714">
        <f>'preturi unitare'!N4</f>
        <v>70000</v>
      </c>
      <c r="K275" s="714">
        <f t="shared" si="27"/>
        <v>70000</v>
      </c>
      <c r="L275" s="334">
        <v>0</v>
      </c>
      <c r="M275" s="411">
        <f t="shared" si="28"/>
        <v>70000</v>
      </c>
      <c r="N275" s="420">
        <v>0</v>
      </c>
      <c r="O275" s="729">
        <f>K275</f>
        <v>70000</v>
      </c>
      <c r="P275" s="729">
        <f>O275/D275</f>
        <v>325.58139534883719</v>
      </c>
      <c r="Q275" s="987" t="s">
        <v>1593</v>
      </c>
    </row>
    <row r="276" spans="1:17" s="382" customFormat="1" ht="45">
      <c r="A276" s="1679"/>
      <c r="B276" s="722" t="s">
        <v>1451</v>
      </c>
      <c r="C276" s="718" t="s">
        <v>701</v>
      </c>
      <c r="D276" s="728">
        <f>D265</f>
        <v>310</v>
      </c>
      <c r="E276" s="728">
        <f>D276</f>
        <v>310</v>
      </c>
      <c r="F276" s="721" t="s">
        <v>323</v>
      </c>
      <c r="G276" s="329" t="s">
        <v>1594</v>
      </c>
      <c r="H276" s="807" t="s">
        <v>1322</v>
      </c>
      <c r="I276" s="714">
        <v>1</v>
      </c>
      <c r="J276" s="714">
        <f>J275</f>
        <v>70000</v>
      </c>
      <c r="K276" s="714">
        <f t="shared" si="27"/>
        <v>70000</v>
      </c>
      <c r="L276" s="334">
        <v>0</v>
      </c>
      <c r="M276" s="411">
        <f>K276</f>
        <v>70000</v>
      </c>
      <c r="N276" s="420">
        <v>0</v>
      </c>
      <c r="O276" s="729">
        <f>K276</f>
        <v>70000</v>
      </c>
      <c r="P276" s="729">
        <f>O276/D276</f>
        <v>225.80645161290323</v>
      </c>
      <c r="Q276" s="987" t="s">
        <v>1595</v>
      </c>
    </row>
    <row r="277" spans="1:17" s="382" customFormat="1" ht="30">
      <c r="A277" s="1679"/>
      <c r="B277" s="1488" t="s">
        <v>1451</v>
      </c>
      <c r="C277" s="1488" t="s">
        <v>697</v>
      </c>
      <c r="D277" s="1577">
        <v>445</v>
      </c>
      <c r="E277" s="1629">
        <f>D277</f>
        <v>445</v>
      </c>
      <c r="F277" s="721" t="s">
        <v>323</v>
      </c>
      <c r="G277" s="329" t="s">
        <v>958</v>
      </c>
      <c r="H277" s="368" t="s">
        <v>280</v>
      </c>
      <c r="I277" s="714">
        <v>1</v>
      </c>
      <c r="J277" s="714">
        <f>'preturi unitare'!O25</f>
        <v>92000</v>
      </c>
      <c r="K277" s="714">
        <f t="shared" si="27"/>
        <v>92000</v>
      </c>
      <c r="L277" s="334">
        <v>0</v>
      </c>
      <c r="M277" s="411">
        <f t="shared" si="28"/>
        <v>92000</v>
      </c>
      <c r="N277" s="420">
        <v>0</v>
      </c>
      <c r="O277" s="1483">
        <f>SUM(K277:K278)</f>
        <v>862000</v>
      </c>
      <c r="P277" s="1483">
        <f>O277/D277</f>
        <v>1937.0786516853932</v>
      </c>
      <c r="Q277" s="1581" t="s">
        <v>1596</v>
      </c>
    </row>
    <row r="278" spans="1:17" s="382" customFormat="1" ht="30">
      <c r="A278" s="1679"/>
      <c r="B278" s="1590"/>
      <c r="C278" s="1488"/>
      <c r="D278" s="1577"/>
      <c r="E278" s="1598"/>
      <c r="F278" s="721" t="s">
        <v>325</v>
      </c>
      <c r="G278" s="329" t="s">
        <v>959</v>
      </c>
      <c r="H278" s="368" t="s">
        <v>160</v>
      </c>
      <c r="I278" s="714">
        <v>5000</v>
      </c>
      <c r="J278" s="714">
        <f>J274</f>
        <v>154</v>
      </c>
      <c r="K278" s="714">
        <f t="shared" si="27"/>
        <v>770000</v>
      </c>
      <c r="L278" s="334">
        <v>0</v>
      </c>
      <c r="M278" s="411">
        <f t="shared" si="28"/>
        <v>770000</v>
      </c>
      <c r="N278" s="420">
        <v>0</v>
      </c>
      <c r="O278" s="1483"/>
      <c r="P278" s="1483"/>
      <c r="Q278" s="1637"/>
    </row>
    <row r="279" spans="1:17" s="382" customFormat="1" ht="45">
      <c r="A279" s="1679"/>
      <c r="B279" s="722" t="s">
        <v>1451</v>
      </c>
      <c r="C279" s="722" t="s">
        <v>703</v>
      </c>
      <c r="D279" s="728">
        <v>503</v>
      </c>
      <c r="E279" s="728">
        <f>D279</f>
        <v>503</v>
      </c>
      <c r="F279" s="721" t="s">
        <v>323</v>
      </c>
      <c r="G279" s="329" t="s">
        <v>599</v>
      </c>
      <c r="H279" s="807" t="s">
        <v>1322</v>
      </c>
      <c r="I279" s="413">
        <v>1</v>
      </c>
      <c r="J279" s="413">
        <f>'preturi unitare'!L4</f>
        <v>70000</v>
      </c>
      <c r="K279" s="413">
        <f t="shared" si="27"/>
        <v>70000</v>
      </c>
      <c r="L279" s="334">
        <v>0</v>
      </c>
      <c r="M279" s="411">
        <f>K279</f>
        <v>70000</v>
      </c>
      <c r="N279" s="420">
        <v>0</v>
      </c>
      <c r="O279" s="729">
        <f>K279</f>
        <v>70000</v>
      </c>
      <c r="P279" s="729">
        <f>O279/D279</f>
        <v>139.16500994035786</v>
      </c>
      <c r="Q279" s="987" t="s">
        <v>1597</v>
      </c>
    </row>
    <row r="280" spans="1:17" s="382" customFormat="1" ht="47.25" customHeight="1">
      <c r="A280" s="1679"/>
      <c r="B280" s="722" t="s">
        <v>1451</v>
      </c>
      <c r="C280" s="722" t="s">
        <v>704</v>
      </c>
      <c r="D280" s="728">
        <v>154</v>
      </c>
      <c r="E280" s="728">
        <f>D280</f>
        <v>154</v>
      </c>
      <c r="F280" s="721" t="s">
        <v>323</v>
      </c>
      <c r="G280" s="329" t="s">
        <v>600</v>
      </c>
      <c r="H280" s="807" t="s">
        <v>1322</v>
      </c>
      <c r="I280" s="714">
        <v>1</v>
      </c>
      <c r="J280" s="714">
        <f>'preturi unitare'!L4</f>
        <v>70000</v>
      </c>
      <c r="K280" s="714">
        <f t="shared" si="27"/>
        <v>70000</v>
      </c>
      <c r="L280" s="334">
        <v>0</v>
      </c>
      <c r="M280" s="411">
        <f>K280</f>
        <v>70000</v>
      </c>
      <c r="N280" s="420">
        <v>0</v>
      </c>
      <c r="O280" s="729">
        <f>K280</f>
        <v>70000</v>
      </c>
      <c r="P280" s="729">
        <f>O280/D280</f>
        <v>454.54545454545456</v>
      </c>
      <c r="Q280" s="987" t="s">
        <v>1598</v>
      </c>
    </row>
    <row r="281" spans="1:17" s="382" customFormat="1" ht="45">
      <c r="A281" s="1679"/>
      <c r="B281" s="722" t="s">
        <v>1451</v>
      </c>
      <c r="C281" s="722" t="s">
        <v>705</v>
      </c>
      <c r="D281" s="728">
        <v>265</v>
      </c>
      <c r="E281" s="728">
        <f>D281</f>
        <v>265</v>
      </c>
      <c r="F281" s="721" t="s">
        <v>323</v>
      </c>
      <c r="G281" s="329" t="s">
        <v>601</v>
      </c>
      <c r="H281" s="807" t="s">
        <v>1322</v>
      </c>
      <c r="I281" s="714">
        <v>1</v>
      </c>
      <c r="J281" s="714">
        <f>'preturi unitare'!L4</f>
        <v>70000</v>
      </c>
      <c r="K281" s="714">
        <f t="shared" si="27"/>
        <v>70000</v>
      </c>
      <c r="L281" s="334">
        <v>0</v>
      </c>
      <c r="M281" s="411">
        <f>K281</f>
        <v>70000</v>
      </c>
      <c r="N281" s="420">
        <v>0</v>
      </c>
      <c r="O281" s="1297">
        <f>K281</f>
        <v>70000</v>
      </c>
      <c r="P281" s="729">
        <f>O281/D281</f>
        <v>264.15094339622641</v>
      </c>
      <c r="Q281" s="987" t="s">
        <v>1599</v>
      </c>
    </row>
    <row r="282" spans="1:17" s="382" customFormat="1" ht="49.5" customHeight="1">
      <c r="A282" s="1679"/>
      <c r="B282" s="722" t="s">
        <v>1451</v>
      </c>
      <c r="C282" s="722" t="s">
        <v>706</v>
      </c>
      <c r="D282" s="733">
        <v>140</v>
      </c>
      <c r="E282" s="733">
        <f>D282</f>
        <v>140</v>
      </c>
      <c r="F282" s="721" t="s">
        <v>323</v>
      </c>
      <c r="G282" s="329" t="s">
        <v>602</v>
      </c>
      <c r="H282" s="807" t="s">
        <v>1322</v>
      </c>
      <c r="I282" s="714">
        <v>1</v>
      </c>
      <c r="J282" s="714">
        <f>'preturi unitare'!L4</f>
        <v>70000</v>
      </c>
      <c r="K282" s="714">
        <f t="shared" si="27"/>
        <v>70000</v>
      </c>
      <c r="L282" s="334">
        <v>0</v>
      </c>
      <c r="M282" s="411">
        <f>K282</f>
        <v>70000</v>
      </c>
      <c r="N282" s="420">
        <v>0</v>
      </c>
      <c r="O282" s="729">
        <f>K282</f>
        <v>70000</v>
      </c>
      <c r="P282" s="729">
        <f>O282/D282</f>
        <v>500</v>
      </c>
      <c r="Q282" s="987" t="s">
        <v>1600</v>
      </c>
    </row>
    <row r="283" spans="1:17" s="382" customFormat="1" ht="45">
      <c r="A283" s="1679"/>
      <c r="B283" s="722" t="s">
        <v>1451</v>
      </c>
      <c r="C283" s="722" t="s">
        <v>707</v>
      </c>
      <c r="D283" s="733">
        <v>169</v>
      </c>
      <c r="E283" s="733">
        <f>D283</f>
        <v>169</v>
      </c>
      <c r="F283" s="721" t="s">
        <v>323</v>
      </c>
      <c r="G283" s="329" t="s">
        <v>603</v>
      </c>
      <c r="H283" s="807" t="s">
        <v>1322</v>
      </c>
      <c r="I283" s="714">
        <v>1</v>
      </c>
      <c r="J283" s="714">
        <f>'preturi unitare'!L4</f>
        <v>70000</v>
      </c>
      <c r="K283" s="714">
        <f t="shared" si="27"/>
        <v>70000</v>
      </c>
      <c r="L283" s="334">
        <v>0</v>
      </c>
      <c r="M283" s="411">
        <f>K283</f>
        <v>70000</v>
      </c>
      <c r="N283" s="420">
        <v>0</v>
      </c>
      <c r="O283" s="729">
        <f>K283</f>
        <v>70000</v>
      </c>
      <c r="P283" s="729">
        <f>O283/D283</f>
        <v>414.20118343195264</v>
      </c>
      <c r="Q283" s="987" t="s">
        <v>1601</v>
      </c>
    </row>
    <row r="284" spans="1:17" s="382" customFormat="1">
      <c r="A284" s="820"/>
      <c r="B284" s="722"/>
      <c r="C284" s="722"/>
      <c r="D284" s="722"/>
      <c r="E284" s="722"/>
      <c r="F284" s="721"/>
      <c r="G284" s="384"/>
      <c r="H284" s="714"/>
      <c r="I284" s="714"/>
      <c r="J284" s="714"/>
      <c r="K284" s="714"/>
      <c r="L284" s="334"/>
      <c r="M284" s="334"/>
      <c r="N284" s="326"/>
      <c r="O284" s="729"/>
      <c r="P284" s="729"/>
      <c r="Q284" s="587"/>
    </row>
    <row r="285" spans="1:17" s="382" customFormat="1">
      <c r="A285" s="1532" t="s">
        <v>387</v>
      </c>
      <c r="B285" s="1533"/>
      <c r="C285" s="1533"/>
      <c r="D285" s="1533"/>
      <c r="E285" s="1533"/>
      <c r="F285" s="1533"/>
      <c r="G285" s="1534"/>
      <c r="H285" s="364"/>
      <c r="I285" s="364"/>
      <c r="J285" s="364"/>
      <c r="K285" s="364">
        <f>SUM(K272:K283)</f>
        <v>2965100</v>
      </c>
      <c r="L285" s="365">
        <f>SUM(L272:L283)</f>
        <v>0</v>
      </c>
      <c r="M285" s="365">
        <f>SUM(M272:M283)</f>
        <v>2965100</v>
      </c>
      <c r="N285" s="364">
        <f>SUM(N272:N283)</f>
        <v>0</v>
      </c>
      <c r="O285" s="714"/>
      <c r="P285" s="714"/>
      <c r="Q285" s="587"/>
    </row>
    <row r="286" spans="1:17" s="382" customFormat="1">
      <c r="A286" s="820"/>
      <c r="B286" s="742"/>
      <c r="C286" s="742"/>
      <c r="D286" s="742"/>
      <c r="E286" s="742"/>
      <c r="F286" s="721"/>
      <c r="G286" s="328"/>
      <c r="H286" s="714"/>
      <c r="I286" s="714"/>
      <c r="J286" s="714"/>
      <c r="K286" s="714"/>
      <c r="L286" s="334"/>
      <c r="M286" s="334"/>
      <c r="N286" s="714"/>
      <c r="O286" s="714"/>
      <c r="P286" s="714"/>
      <c r="Q286" s="587"/>
    </row>
    <row r="287" spans="1:17" s="382" customFormat="1" ht="15" customHeight="1" thickBot="1">
      <c r="A287" s="1474" t="s">
        <v>388</v>
      </c>
      <c r="B287" s="1475"/>
      <c r="C287" s="1475"/>
      <c r="D287" s="1475"/>
      <c r="E287" s="1475"/>
      <c r="F287" s="1475"/>
      <c r="G287" s="1476"/>
      <c r="H287" s="581"/>
      <c r="I287" s="581"/>
      <c r="J287" s="581"/>
      <c r="K287" s="582">
        <f>K268+K285</f>
        <v>5888600</v>
      </c>
      <c r="L287" s="583">
        <f>L268+L285</f>
        <v>2475500</v>
      </c>
      <c r="M287" s="583">
        <f>M268+M285</f>
        <v>3413100</v>
      </c>
      <c r="N287" s="582">
        <f>N268+N285</f>
        <v>0</v>
      </c>
      <c r="O287" s="581"/>
      <c r="P287" s="581"/>
      <c r="Q287" s="816"/>
    </row>
    <row r="288" spans="1:17" s="382" customFormat="1" ht="15.75" thickBot="1">
      <c r="A288" s="844"/>
      <c r="B288" s="606"/>
      <c r="C288" s="606"/>
      <c r="D288" s="606"/>
      <c r="E288" s="606"/>
      <c r="F288" s="607"/>
      <c r="G288" s="576"/>
      <c r="H288" s="608"/>
      <c r="I288" s="608"/>
      <c r="J288" s="608"/>
      <c r="K288" s="608"/>
      <c r="L288" s="609"/>
      <c r="M288" s="609"/>
      <c r="N288" s="608"/>
      <c r="O288" s="586"/>
      <c r="P288" s="586"/>
      <c r="Q288" s="586"/>
    </row>
    <row r="289" spans="1:17" s="382" customFormat="1" ht="15.75" thickBot="1">
      <c r="A289" s="859"/>
      <c r="B289" s="639"/>
      <c r="C289" s="639"/>
      <c r="D289" s="639"/>
      <c r="E289" s="639"/>
      <c r="F289" s="846"/>
      <c r="G289" s="577" t="s">
        <v>1886</v>
      </c>
      <c r="H289" s="847"/>
      <c r="I289" s="840"/>
      <c r="J289" s="641"/>
      <c r="K289" s="639"/>
      <c r="L289" s="640"/>
      <c r="M289" s="640"/>
      <c r="N289" s="639"/>
      <c r="O289" s="841"/>
      <c r="P289" s="841"/>
      <c r="Q289" s="642"/>
    </row>
    <row r="290" spans="1:17" s="382" customFormat="1" ht="15.75" thickBot="1">
      <c r="A290" s="860"/>
      <c r="B290" s="355"/>
      <c r="C290" s="355"/>
      <c r="D290" s="355"/>
      <c r="E290" s="355"/>
      <c r="F290" s="356"/>
      <c r="G290" s="576"/>
      <c r="H290" s="358"/>
      <c r="I290" s="358"/>
      <c r="J290" s="358"/>
      <c r="K290" s="358"/>
      <c r="L290" s="359"/>
      <c r="M290" s="359"/>
      <c r="N290" s="358"/>
      <c r="O290" s="715"/>
      <c r="P290" s="715"/>
      <c r="Q290" s="643"/>
    </row>
    <row r="291" spans="1:17" s="382" customFormat="1" ht="60" customHeight="1">
      <c r="A291" s="1562" t="s">
        <v>632</v>
      </c>
      <c r="B291" s="1538" t="s">
        <v>676</v>
      </c>
      <c r="C291" s="1538" t="s">
        <v>610</v>
      </c>
      <c r="D291" s="1538" t="s">
        <v>611</v>
      </c>
      <c r="E291" s="1538" t="s">
        <v>1453</v>
      </c>
      <c r="F291" s="1472" t="s">
        <v>159</v>
      </c>
      <c r="G291" s="1509" t="s">
        <v>110</v>
      </c>
      <c r="H291" s="1477" t="s">
        <v>316</v>
      </c>
      <c r="I291" s="1472" t="s">
        <v>315</v>
      </c>
      <c r="J291" s="1472" t="s">
        <v>317</v>
      </c>
      <c r="K291" s="1472" t="s">
        <v>318</v>
      </c>
      <c r="L291" s="569" t="s">
        <v>1443</v>
      </c>
      <c r="M291" s="569" t="s">
        <v>1444</v>
      </c>
      <c r="N291" s="709" t="s">
        <v>1445</v>
      </c>
      <c r="O291" s="1477" t="s">
        <v>1673</v>
      </c>
      <c r="P291" s="1477" t="s">
        <v>1307</v>
      </c>
      <c r="Q291" s="1495" t="s">
        <v>1454</v>
      </c>
    </row>
    <row r="292" spans="1:17" s="382" customFormat="1" ht="15.75" thickBot="1">
      <c r="A292" s="1563"/>
      <c r="B292" s="1539"/>
      <c r="C292" s="1539"/>
      <c r="D292" s="1539"/>
      <c r="E292" s="1539"/>
      <c r="F292" s="1473"/>
      <c r="G292" s="1510"/>
      <c r="H292" s="1478"/>
      <c r="I292" s="1473"/>
      <c r="J292" s="1473"/>
      <c r="K292" s="1473"/>
      <c r="L292" s="570" t="s">
        <v>805</v>
      </c>
      <c r="M292" s="570" t="s">
        <v>805</v>
      </c>
      <c r="N292" s="710" t="s">
        <v>1149</v>
      </c>
      <c r="O292" s="1478"/>
      <c r="P292" s="1478"/>
      <c r="Q292" s="1496"/>
    </row>
    <row r="293" spans="1:17" s="382" customFormat="1" ht="45">
      <c r="A293" s="1678" t="s">
        <v>720</v>
      </c>
      <c r="B293" s="1587" t="s">
        <v>612</v>
      </c>
      <c r="C293" s="1599" t="s">
        <v>721</v>
      </c>
      <c r="D293" s="1598">
        <f>438+289</f>
        <v>727</v>
      </c>
      <c r="E293" s="1628" t="s">
        <v>1451</v>
      </c>
      <c r="F293" s="999" t="s">
        <v>320</v>
      </c>
      <c r="G293" s="1011" t="s">
        <v>988</v>
      </c>
      <c r="H293" s="414" t="s">
        <v>160</v>
      </c>
      <c r="I293" s="713">
        <v>2000</v>
      </c>
      <c r="J293" s="713">
        <f>J297</f>
        <v>94</v>
      </c>
      <c r="K293" s="713">
        <f t="shared" ref="K293:K309" si="29">I293*J293</f>
        <v>188000</v>
      </c>
      <c r="L293" s="411">
        <f t="shared" ref="L293:L305" si="30">K293</f>
        <v>188000</v>
      </c>
      <c r="M293" s="434">
        <v>0</v>
      </c>
      <c r="N293" s="436">
        <v>0</v>
      </c>
      <c r="O293" s="1484">
        <f>L293+L294+L295+L296</f>
        <v>720400</v>
      </c>
      <c r="P293" s="1484">
        <f>O293/D293</f>
        <v>990.92159559834943</v>
      </c>
      <c r="Q293" s="1582" t="s">
        <v>1602</v>
      </c>
    </row>
    <row r="294" spans="1:17" s="382" customFormat="1" ht="30">
      <c r="A294" s="1679"/>
      <c r="B294" s="1588"/>
      <c r="C294" s="1567"/>
      <c r="D294" s="1577"/>
      <c r="E294" s="1627"/>
      <c r="F294" s="721" t="s">
        <v>321</v>
      </c>
      <c r="G294" s="985" t="s">
        <v>989</v>
      </c>
      <c r="H294" s="368" t="s">
        <v>280</v>
      </c>
      <c r="I294" s="714">
        <v>1</v>
      </c>
      <c r="J294" s="714">
        <f>J298</f>
        <v>70000</v>
      </c>
      <c r="K294" s="714">
        <f t="shared" si="29"/>
        <v>70000</v>
      </c>
      <c r="L294" s="334">
        <f t="shared" si="30"/>
        <v>70000</v>
      </c>
      <c r="M294" s="370">
        <v>0</v>
      </c>
      <c r="N294" s="369">
        <v>0</v>
      </c>
      <c r="O294" s="1483"/>
      <c r="P294" s="1483"/>
      <c r="Q294" s="1642"/>
    </row>
    <row r="295" spans="1:17" s="382" customFormat="1" ht="30">
      <c r="A295" s="1679"/>
      <c r="B295" s="1588"/>
      <c r="C295" s="1567"/>
      <c r="D295" s="1577"/>
      <c r="E295" s="1627"/>
      <c r="F295" s="1600" t="s">
        <v>322</v>
      </c>
      <c r="G295" s="985" t="s">
        <v>990</v>
      </c>
      <c r="H295" s="368" t="s">
        <v>160</v>
      </c>
      <c r="I295" s="714">
        <v>2500</v>
      </c>
      <c r="J295" s="714">
        <f>J299</f>
        <v>68</v>
      </c>
      <c r="K295" s="714">
        <f t="shared" si="29"/>
        <v>170000</v>
      </c>
      <c r="L295" s="334">
        <f t="shared" si="30"/>
        <v>170000</v>
      </c>
      <c r="M295" s="370">
        <v>0</v>
      </c>
      <c r="N295" s="714">
        <v>0</v>
      </c>
      <c r="O295" s="1483"/>
      <c r="P295" s="1483"/>
      <c r="Q295" s="1642"/>
    </row>
    <row r="296" spans="1:17" s="382" customFormat="1" ht="30">
      <c r="A296" s="1679"/>
      <c r="B296" s="1588"/>
      <c r="C296" s="1567"/>
      <c r="D296" s="1577"/>
      <c r="E296" s="1598"/>
      <c r="F296" s="1600"/>
      <c r="G296" s="985" t="s">
        <v>991</v>
      </c>
      <c r="H296" s="368" t="s">
        <v>160</v>
      </c>
      <c r="I296" s="714">
        <v>4300</v>
      </c>
      <c r="J296" s="714">
        <f>J295</f>
        <v>68</v>
      </c>
      <c r="K296" s="714">
        <f t="shared" si="29"/>
        <v>292400</v>
      </c>
      <c r="L296" s="334">
        <f t="shared" si="30"/>
        <v>292400</v>
      </c>
      <c r="M296" s="370">
        <v>0</v>
      </c>
      <c r="N296" s="714">
        <v>0</v>
      </c>
      <c r="O296" s="1483"/>
      <c r="P296" s="1483"/>
      <c r="Q296" s="1642"/>
    </row>
    <row r="297" spans="1:17" s="382" customFormat="1" ht="45">
      <c r="A297" s="1679"/>
      <c r="B297" s="1588"/>
      <c r="C297" s="1488" t="s">
        <v>722</v>
      </c>
      <c r="D297" s="1577">
        <v>764</v>
      </c>
      <c r="E297" s="1606" t="s">
        <v>1451</v>
      </c>
      <c r="F297" s="1000" t="s">
        <v>320</v>
      </c>
      <c r="G297" s="985" t="s">
        <v>410</v>
      </c>
      <c r="H297" s="368" t="s">
        <v>160</v>
      </c>
      <c r="I297" s="714">
        <v>4600</v>
      </c>
      <c r="J297" s="714">
        <f>'preturi unitare'!H25</f>
        <v>94</v>
      </c>
      <c r="K297" s="714">
        <f t="shared" si="29"/>
        <v>432400</v>
      </c>
      <c r="L297" s="334">
        <f t="shared" si="30"/>
        <v>432400</v>
      </c>
      <c r="M297" s="370">
        <v>0</v>
      </c>
      <c r="N297" s="369">
        <v>0</v>
      </c>
      <c r="O297" s="1483">
        <f>L297+L298+L299+L300</f>
        <v>766100</v>
      </c>
      <c r="P297" s="1483">
        <f>O297/D297</f>
        <v>1002.7486910994764</v>
      </c>
      <c r="Q297" s="1641" t="s">
        <v>1603</v>
      </c>
    </row>
    <row r="298" spans="1:17" s="382" customFormat="1" ht="30">
      <c r="A298" s="1679"/>
      <c r="B298" s="1588"/>
      <c r="C298" s="1488"/>
      <c r="D298" s="1577"/>
      <c r="E298" s="1627"/>
      <c r="F298" s="721" t="s">
        <v>321</v>
      </c>
      <c r="G298" s="985" t="s">
        <v>992</v>
      </c>
      <c r="H298" s="368" t="s">
        <v>280</v>
      </c>
      <c r="I298" s="714">
        <v>1</v>
      </c>
      <c r="J298" s="714">
        <f>J94</f>
        <v>70000</v>
      </c>
      <c r="K298" s="714">
        <f t="shared" si="29"/>
        <v>70000</v>
      </c>
      <c r="L298" s="334">
        <f t="shared" si="30"/>
        <v>70000</v>
      </c>
      <c r="M298" s="370">
        <v>0</v>
      </c>
      <c r="N298" s="369">
        <v>0</v>
      </c>
      <c r="O298" s="1483"/>
      <c r="P298" s="1483"/>
      <c r="Q298" s="1642"/>
    </row>
    <row r="299" spans="1:17" s="382" customFormat="1" ht="30">
      <c r="A299" s="1679"/>
      <c r="B299" s="1588"/>
      <c r="C299" s="1488"/>
      <c r="D299" s="1577"/>
      <c r="E299" s="1627"/>
      <c r="F299" s="721" t="s">
        <v>322</v>
      </c>
      <c r="G299" s="985" t="s">
        <v>993</v>
      </c>
      <c r="H299" s="368" t="s">
        <v>160</v>
      </c>
      <c r="I299" s="714">
        <v>2900</v>
      </c>
      <c r="J299" s="714">
        <f>J307</f>
        <v>68</v>
      </c>
      <c r="K299" s="714">
        <f t="shared" si="29"/>
        <v>197200</v>
      </c>
      <c r="L299" s="334">
        <f t="shared" si="30"/>
        <v>197200</v>
      </c>
      <c r="M299" s="334">
        <v>0</v>
      </c>
      <c r="N299" s="714">
        <v>0</v>
      </c>
      <c r="O299" s="1483"/>
      <c r="P299" s="1483"/>
      <c r="Q299" s="1642"/>
    </row>
    <row r="300" spans="1:17" s="382" customFormat="1" ht="47.25">
      <c r="A300" s="1679"/>
      <c r="B300" s="1588"/>
      <c r="C300" s="1488"/>
      <c r="D300" s="1577"/>
      <c r="E300" s="1598"/>
      <c r="F300" s="741" t="s">
        <v>279</v>
      </c>
      <c r="G300" s="985" t="s">
        <v>1672</v>
      </c>
      <c r="H300" s="653" t="s">
        <v>280</v>
      </c>
      <c r="I300" s="714">
        <v>1</v>
      </c>
      <c r="J300" s="714">
        <f>'preturi unitare'!E26+'preturi unitare'!E6</f>
        <v>66500</v>
      </c>
      <c r="K300" s="714">
        <f t="shared" si="29"/>
        <v>66500</v>
      </c>
      <c r="L300" s="334">
        <f t="shared" si="30"/>
        <v>66500</v>
      </c>
      <c r="M300" s="370">
        <v>0</v>
      </c>
      <c r="N300" s="369">
        <v>0</v>
      </c>
      <c r="O300" s="1483"/>
      <c r="P300" s="1483"/>
      <c r="Q300" s="1642"/>
    </row>
    <row r="301" spans="1:17" s="382" customFormat="1" ht="45">
      <c r="A301" s="1679"/>
      <c r="B301" s="1588"/>
      <c r="C301" s="1567" t="s">
        <v>723</v>
      </c>
      <c r="D301" s="1577">
        <f>389+547</f>
        <v>936</v>
      </c>
      <c r="E301" s="1606" t="s">
        <v>1451</v>
      </c>
      <c r="F301" s="1000" t="s">
        <v>320</v>
      </c>
      <c r="G301" s="985" t="s">
        <v>994</v>
      </c>
      <c r="H301" s="368" t="s">
        <v>160</v>
      </c>
      <c r="I301" s="714">
        <v>3200</v>
      </c>
      <c r="J301" s="714">
        <f>J293</f>
        <v>94</v>
      </c>
      <c r="K301" s="714">
        <f t="shared" si="29"/>
        <v>300800</v>
      </c>
      <c r="L301" s="334">
        <f t="shared" si="30"/>
        <v>300800</v>
      </c>
      <c r="M301" s="370">
        <v>0</v>
      </c>
      <c r="N301" s="369">
        <v>0</v>
      </c>
      <c r="O301" s="1483">
        <f>SUM(L301:L305)</f>
        <v>806500</v>
      </c>
      <c r="P301" s="1483">
        <f>O301/D301</f>
        <v>861.64529914529919</v>
      </c>
      <c r="Q301" s="1641" t="s">
        <v>1604</v>
      </c>
    </row>
    <row r="302" spans="1:17" s="382" customFormat="1" ht="30">
      <c r="A302" s="1679"/>
      <c r="B302" s="1588"/>
      <c r="C302" s="1567"/>
      <c r="D302" s="1577"/>
      <c r="E302" s="1627"/>
      <c r="F302" s="721" t="s">
        <v>321</v>
      </c>
      <c r="G302" s="985" t="s">
        <v>995</v>
      </c>
      <c r="H302" s="368" t="s">
        <v>280</v>
      </c>
      <c r="I302" s="714">
        <v>2</v>
      </c>
      <c r="J302" s="368">
        <f>J294</f>
        <v>70000</v>
      </c>
      <c r="K302" s="714">
        <f t="shared" si="29"/>
        <v>140000</v>
      </c>
      <c r="L302" s="334">
        <f t="shared" si="30"/>
        <v>140000</v>
      </c>
      <c r="M302" s="370">
        <v>0</v>
      </c>
      <c r="N302" s="369">
        <v>0</v>
      </c>
      <c r="O302" s="1483"/>
      <c r="P302" s="1483"/>
      <c r="Q302" s="1583"/>
    </row>
    <row r="303" spans="1:17" s="382" customFormat="1" ht="30">
      <c r="A303" s="1679"/>
      <c r="B303" s="1588"/>
      <c r="C303" s="1567"/>
      <c r="D303" s="1577"/>
      <c r="E303" s="1627"/>
      <c r="F303" s="1600" t="s">
        <v>322</v>
      </c>
      <c r="G303" s="985" t="s">
        <v>996</v>
      </c>
      <c r="H303" s="368" t="s">
        <v>160</v>
      </c>
      <c r="I303" s="714">
        <v>1800</v>
      </c>
      <c r="J303" s="714">
        <f>J296</f>
        <v>68</v>
      </c>
      <c r="K303" s="714">
        <f t="shared" si="29"/>
        <v>122400</v>
      </c>
      <c r="L303" s="334">
        <f t="shared" si="30"/>
        <v>122400</v>
      </c>
      <c r="M303" s="334">
        <v>0</v>
      </c>
      <c r="N303" s="714">
        <v>0</v>
      </c>
      <c r="O303" s="1483"/>
      <c r="P303" s="1483"/>
      <c r="Q303" s="1583"/>
    </row>
    <row r="304" spans="1:17" s="382" customFormat="1" ht="30">
      <c r="A304" s="1679"/>
      <c r="B304" s="1588"/>
      <c r="C304" s="1567"/>
      <c r="D304" s="1577"/>
      <c r="E304" s="1627"/>
      <c r="F304" s="1600"/>
      <c r="G304" s="985" t="s">
        <v>997</v>
      </c>
      <c r="H304" s="368" t="s">
        <v>160</v>
      </c>
      <c r="I304" s="714">
        <v>2600</v>
      </c>
      <c r="J304" s="714">
        <f>J303</f>
        <v>68</v>
      </c>
      <c r="K304" s="714">
        <f t="shared" si="29"/>
        <v>176800</v>
      </c>
      <c r="L304" s="334">
        <f t="shared" si="30"/>
        <v>176800</v>
      </c>
      <c r="M304" s="334">
        <v>0</v>
      </c>
      <c r="N304" s="714">
        <v>0</v>
      </c>
      <c r="O304" s="1483"/>
      <c r="P304" s="1483"/>
      <c r="Q304" s="1583"/>
    </row>
    <row r="305" spans="1:19" s="382" customFormat="1" ht="47.25">
      <c r="A305" s="1679"/>
      <c r="B305" s="1589"/>
      <c r="C305" s="1567"/>
      <c r="D305" s="1577"/>
      <c r="E305" s="1598"/>
      <c r="F305" s="741" t="s">
        <v>279</v>
      </c>
      <c r="G305" s="985" t="s">
        <v>998</v>
      </c>
      <c r="H305" s="653" t="s">
        <v>280</v>
      </c>
      <c r="I305" s="714">
        <v>1</v>
      </c>
      <c r="J305" s="714">
        <v>66500</v>
      </c>
      <c r="K305" s="714">
        <f t="shared" si="29"/>
        <v>66500</v>
      </c>
      <c r="L305" s="334">
        <f t="shared" si="30"/>
        <v>66500</v>
      </c>
      <c r="M305" s="334">
        <v>0</v>
      </c>
      <c r="N305" s="369">
        <v>0</v>
      </c>
      <c r="O305" s="1483"/>
      <c r="P305" s="1483"/>
      <c r="Q305" s="1583"/>
    </row>
    <row r="306" spans="1:19" s="382" customFormat="1" ht="30" customHeight="1">
      <c r="A306" s="1679"/>
      <c r="B306" s="1684" t="s">
        <v>1455</v>
      </c>
      <c r="C306" s="1488" t="s">
        <v>724</v>
      </c>
      <c r="D306" s="1577">
        <v>127</v>
      </c>
      <c r="E306" s="1606" t="s">
        <v>1451</v>
      </c>
      <c r="F306" s="721" t="s">
        <v>140</v>
      </c>
      <c r="G306" s="985" t="s">
        <v>999</v>
      </c>
      <c r="H306" s="653" t="s">
        <v>280</v>
      </c>
      <c r="I306" s="714">
        <v>1</v>
      </c>
      <c r="J306" s="714">
        <f>'preturi unitare'!K4</f>
        <v>89000</v>
      </c>
      <c r="K306" s="714">
        <f t="shared" si="29"/>
        <v>89000</v>
      </c>
      <c r="L306" s="334">
        <f>K306</f>
        <v>89000</v>
      </c>
      <c r="M306" s="334">
        <v>0</v>
      </c>
      <c r="N306" s="714">
        <v>0</v>
      </c>
      <c r="O306" s="1483">
        <f>SUM(L306:L309)</f>
        <v>123000</v>
      </c>
      <c r="P306" s="1483">
        <f>O306/D306</f>
        <v>968.50393700787401</v>
      </c>
      <c r="Q306" s="1641" t="s">
        <v>1603</v>
      </c>
    </row>
    <row r="307" spans="1:19" s="382" customFormat="1" ht="30">
      <c r="A307" s="1679"/>
      <c r="B307" s="1588"/>
      <c r="C307" s="1488"/>
      <c r="D307" s="1577"/>
      <c r="E307" s="1627"/>
      <c r="F307" s="1000" t="s">
        <v>320</v>
      </c>
      <c r="G307" s="985" t="s">
        <v>1000</v>
      </c>
      <c r="H307" s="368" t="s">
        <v>160</v>
      </c>
      <c r="I307" s="714">
        <v>500</v>
      </c>
      <c r="J307" s="714">
        <f>J97</f>
        <v>68</v>
      </c>
      <c r="K307" s="714">
        <f t="shared" si="29"/>
        <v>34000</v>
      </c>
      <c r="L307" s="334">
        <f>K307</f>
        <v>34000</v>
      </c>
      <c r="M307" s="334">
        <v>0</v>
      </c>
      <c r="N307" s="714">
        <v>0</v>
      </c>
      <c r="O307" s="1483"/>
      <c r="P307" s="1483"/>
      <c r="Q307" s="1642"/>
    </row>
    <row r="308" spans="1:19" s="382" customFormat="1" ht="30">
      <c r="A308" s="1679"/>
      <c r="B308" s="1588"/>
      <c r="C308" s="1488"/>
      <c r="D308" s="1577"/>
      <c r="E308" s="1627"/>
      <c r="F308" s="721" t="s">
        <v>322</v>
      </c>
      <c r="G308" s="985" t="s">
        <v>1001</v>
      </c>
      <c r="H308" s="368" t="s">
        <v>160</v>
      </c>
      <c r="I308" s="714">
        <v>2000</v>
      </c>
      <c r="J308" s="714">
        <f>J95</f>
        <v>64</v>
      </c>
      <c r="K308" s="714">
        <f t="shared" si="29"/>
        <v>128000</v>
      </c>
      <c r="L308" s="334">
        <v>0</v>
      </c>
      <c r="M308" s="334">
        <f>K308</f>
        <v>128000</v>
      </c>
      <c r="N308" s="714">
        <v>0</v>
      </c>
      <c r="O308" s="1483"/>
      <c r="P308" s="1483"/>
      <c r="Q308" s="1642"/>
    </row>
    <row r="309" spans="1:19" s="382" customFormat="1" ht="47.25">
      <c r="A309" s="1679"/>
      <c r="B309" s="1589"/>
      <c r="C309" s="1488"/>
      <c r="D309" s="1577"/>
      <c r="E309" s="1598"/>
      <c r="F309" s="741" t="s">
        <v>279</v>
      </c>
      <c r="G309" s="985" t="s">
        <v>1002</v>
      </c>
      <c r="H309" s="653" t="s">
        <v>280</v>
      </c>
      <c r="I309" s="714">
        <v>1</v>
      </c>
      <c r="J309" s="714">
        <f>'preturi unitare'!E31+'preturi unitare'!E6</f>
        <v>48000</v>
      </c>
      <c r="K309" s="714">
        <f t="shared" si="29"/>
        <v>48000</v>
      </c>
      <c r="L309" s="334">
        <v>0</v>
      </c>
      <c r="M309" s="334">
        <f>K309</f>
        <v>48000</v>
      </c>
      <c r="N309" s="714">
        <v>0</v>
      </c>
      <c r="O309" s="1483"/>
      <c r="P309" s="1483"/>
      <c r="Q309" s="1642"/>
    </row>
    <row r="310" spans="1:19" s="382" customFormat="1">
      <c r="A310" s="820"/>
      <c r="B310" s="722"/>
      <c r="C310" s="722"/>
      <c r="D310" s="722"/>
      <c r="E310" s="722"/>
      <c r="F310" s="721"/>
      <c r="G310" s="362"/>
      <c r="H310" s="653"/>
      <c r="I310" s="714"/>
      <c r="J310" s="714"/>
      <c r="K310" s="714"/>
      <c r="L310" s="334"/>
      <c r="M310" s="334"/>
      <c r="N310" s="326"/>
      <c r="O310" s="714"/>
      <c r="P310" s="714"/>
      <c r="Q310" s="587"/>
    </row>
    <row r="311" spans="1:19" s="382" customFormat="1">
      <c r="A311" s="1469" t="s">
        <v>608</v>
      </c>
      <c r="B311" s="1470"/>
      <c r="C311" s="1470"/>
      <c r="D311" s="1470"/>
      <c r="E311" s="1470"/>
      <c r="F311" s="1470"/>
      <c r="G311" s="1471"/>
      <c r="H311" s="793"/>
      <c r="I311" s="714"/>
      <c r="J311" s="714"/>
      <c r="K311" s="364">
        <f>SUM(K293:K309)</f>
        <v>2592000</v>
      </c>
      <c r="L311" s="365">
        <f>SUM(L293:L309)</f>
        <v>2416000</v>
      </c>
      <c r="M311" s="365">
        <f>SUM(M293:M309)</f>
        <v>176000</v>
      </c>
      <c r="N311" s="364">
        <f>SUM(N293:N309)</f>
        <v>0</v>
      </c>
      <c r="O311" s="714"/>
      <c r="P311" s="714"/>
      <c r="Q311" s="587"/>
      <c r="S311" s="629"/>
    </row>
    <row r="312" spans="1:19" s="382" customFormat="1" ht="15.75" thickBot="1">
      <c r="A312" s="833"/>
      <c r="B312" s="397"/>
      <c r="C312" s="397"/>
      <c r="D312" s="397"/>
      <c r="E312" s="397"/>
      <c r="F312" s="711"/>
      <c r="G312" s="417"/>
      <c r="H312" s="732"/>
      <c r="I312" s="732"/>
      <c r="J312" s="732"/>
      <c r="K312" s="732"/>
      <c r="L312" s="426"/>
      <c r="M312" s="426"/>
      <c r="N312" s="418"/>
      <c r="O312" s="715"/>
      <c r="P312" s="715"/>
      <c r="Q312" s="643"/>
    </row>
    <row r="313" spans="1:19" s="382" customFormat="1" ht="60" customHeight="1">
      <c r="A313" s="1608" t="s">
        <v>632</v>
      </c>
      <c r="B313" s="1544" t="s">
        <v>617</v>
      </c>
      <c r="C313" s="1538" t="s">
        <v>610</v>
      </c>
      <c r="D313" s="1538" t="s">
        <v>611</v>
      </c>
      <c r="E313" s="1538" t="s">
        <v>1453</v>
      </c>
      <c r="F313" s="1472" t="s">
        <v>159</v>
      </c>
      <c r="G313" s="1509" t="s">
        <v>110</v>
      </c>
      <c r="H313" s="1477" t="s">
        <v>316</v>
      </c>
      <c r="I313" s="1472" t="s">
        <v>315</v>
      </c>
      <c r="J313" s="1472" t="s">
        <v>317</v>
      </c>
      <c r="K313" s="1472" t="s">
        <v>318</v>
      </c>
      <c r="L313" s="569" t="s">
        <v>1443</v>
      </c>
      <c r="M313" s="569" t="s">
        <v>1444</v>
      </c>
      <c r="N313" s="709" t="s">
        <v>1445</v>
      </c>
      <c r="O313" s="1477" t="s">
        <v>1673</v>
      </c>
      <c r="P313" s="1477" t="s">
        <v>1307</v>
      </c>
      <c r="Q313" s="1495" t="s">
        <v>1454</v>
      </c>
    </row>
    <row r="314" spans="1:19" s="382" customFormat="1" ht="15.75" thickBot="1">
      <c r="A314" s="1609"/>
      <c r="B314" s="1545"/>
      <c r="C314" s="1539"/>
      <c r="D314" s="1539"/>
      <c r="E314" s="1539"/>
      <c r="F314" s="1473"/>
      <c r="G314" s="1510"/>
      <c r="H314" s="1478"/>
      <c r="I314" s="1473"/>
      <c r="J314" s="1473"/>
      <c r="K314" s="1473"/>
      <c r="L314" s="570" t="s">
        <v>805</v>
      </c>
      <c r="M314" s="570" t="s">
        <v>805</v>
      </c>
      <c r="N314" s="710" t="s">
        <v>1149</v>
      </c>
      <c r="O314" s="1478"/>
      <c r="P314" s="1478"/>
      <c r="Q314" s="1496"/>
    </row>
    <row r="315" spans="1:19" s="373" customFormat="1" ht="30">
      <c r="A315" s="1671" t="s">
        <v>720</v>
      </c>
      <c r="B315" s="1673" t="s">
        <v>1451</v>
      </c>
      <c r="C315" s="1575" t="s">
        <v>720</v>
      </c>
      <c r="D315" s="1786" t="s">
        <v>1315</v>
      </c>
      <c r="E315" s="1744" t="str">
        <f>D315</f>
        <v>438</v>
      </c>
      <c r="F315" s="654" t="s">
        <v>323</v>
      </c>
      <c r="G315" s="858" t="s">
        <v>1316</v>
      </c>
      <c r="H315" s="750" t="s">
        <v>280</v>
      </c>
      <c r="I315" s="726">
        <v>1</v>
      </c>
      <c r="J315" s="726">
        <f>'preturi unitare'!O25</f>
        <v>92000</v>
      </c>
      <c r="K315" s="726">
        <f>I315*J315</f>
        <v>92000</v>
      </c>
      <c r="L315" s="835">
        <v>0</v>
      </c>
      <c r="M315" s="835">
        <f>K315</f>
        <v>92000</v>
      </c>
      <c r="N315" s="726">
        <v>0</v>
      </c>
      <c r="O315" s="1696">
        <f>SUM(M315:M316)</f>
        <v>754200</v>
      </c>
      <c r="P315" s="1696">
        <f>O315/D315</f>
        <v>1721.9178082191781</v>
      </c>
      <c r="Q315" s="1661" t="s">
        <v>1605</v>
      </c>
    </row>
    <row r="316" spans="1:19" s="373" customFormat="1" ht="30">
      <c r="A316" s="1672"/>
      <c r="B316" s="1660"/>
      <c r="C316" s="1576"/>
      <c r="D316" s="1743"/>
      <c r="E316" s="1745"/>
      <c r="F316" s="734" t="s">
        <v>1317</v>
      </c>
      <c r="G316" s="439" t="s">
        <v>1318</v>
      </c>
      <c r="H316" s="613" t="s">
        <v>160</v>
      </c>
      <c r="I316" s="724">
        <v>4300</v>
      </c>
      <c r="J316" s="724">
        <f>'preturi unitare'!H40</f>
        <v>154</v>
      </c>
      <c r="K316" s="724">
        <f>I316*J316</f>
        <v>662200</v>
      </c>
      <c r="L316" s="401">
        <v>0</v>
      </c>
      <c r="M316" s="835">
        <f t="shared" ref="M316:M321" si="31">K316</f>
        <v>662200</v>
      </c>
      <c r="N316" s="1291">
        <v>0</v>
      </c>
      <c r="O316" s="1597"/>
      <c r="P316" s="1597"/>
      <c r="Q316" s="1662"/>
    </row>
    <row r="317" spans="1:19" s="373" customFormat="1" ht="45" customHeight="1">
      <c r="A317" s="1672"/>
      <c r="B317" s="735" t="s">
        <v>1451</v>
      </c>
      <c r="C317" s="735" t="s">
        <v>1319</v>
      </c>
      <c r="D317" s="748" t="s">
        <v>1320</v>
      </c>
      <c r="E317" s="748" t="str">
        <f>D317</f>
        <v>289</v>
      </c>
      <c r="F317" s="649" t="s">
        <v>323</v>
      </c>
      <c r="G317" s="612" t="s">
        <v>1694</v>
      </c>
      <c r="H317" s="970" t="s">
        <v>1322</v>
      </c>
      <c r="I317" s="724">
        <v>1</v>
      </c>
      <c r="J317" s="724">
        <f>'preturi unitare'!N4</f>
        <v>70000</v>
      </c>
      <c r="K317" s="724">
        <f>J317</f>
        <v>70000</v>
      </c>
      <c r="L317" s="401">
        <v>0</v>
      </c>
      <c r="M317" s="835">
        <f>K317</f>
        <v>70000</v>
      </c>
      <c r="N317" s="1291">
        <v>0</v>
      </c>
      <c r="O317" s="747">
        <f>K317</f>
        <v>70000</v>
      </c>
      <c r="P317" s="747">
        <f>O317/D317</f>
        <v>242.21453287197232</v>
      </c>
      <c r="Q317" s="1002" t="s">
        <v>1606</v>
      </c>
    </row>
    <row r="318" spans="1:19" s="373" customFormat="1" ht="30">
      <c r="A318" s="1672"/>
      <c r="B318" s="1659" t="s">
        <v>1451</v>
      </c>
      <c r="C318" s="1576" t="s">
        <v>722</v>
      </c>
      <c r="D318" s="1743">
        <v>764</v>
      </c>
      <c r="E318" s="1746">
        <f>D318</f>
        <v>764</v>
      </c>
      <c r="F318" s="649" t="s">
        <v>323</v>
      </c>
      <c r="G318" s="612" t="s">
        <v>1321</v>
      </c>
      <c r="H318" s="613" t="s">
        <v>280</v>
      </c>
      <c r="I318" s="724">
        <v>1</v>
      </c>
      <c r="J318" s="724">
        <f>'preturi unitare'!O28</f>
        <v>120000</v>
      </c>
      <c r="K318" s="724">
        <f>I318*J318</f>
        <v>120000</v>
      </c>
      <c r="L318" s="401">
        <v>0</v>
      </c>
      <c r="M318" s="835">
        <f t="shared" si="31"/>
        <v>120000</v>
      </c>
      <c r="N318" s="1291">
        <v>0</v>
      </c>
      <c r="O318" s="1597">
        <f>SUM(M318:M319)</f>
        <v>566600</v>
      </c>
      <c r="P318" s="1597">
        <f>O318/D318</f>
        <v>741.62303664921467</v>
      </c>
      <c r="Q318" s="1661" t="s">
        <v>1607</v>
      </c>
    </row>
    <row r="319" spans="1:19" s="373" customFormat="1" ht="30">
      <c r="A319" s="1672"/>
      <c r="B319" s="1660"/>
      <c r="C319" s="1576"/>
      <c r="D319" s="1743"/>
      <c r="E319" s="1745"/>
      <c r="F319" s="734" t="s">
        <v>1317</v>
      </c>
      <c r="G319" s="439" t="s">
        <v>1318</v>
      </c>
      <c r="H319" s="613" t="s">
        <v>160</v>
      </c>
      <c r="I319" s="724">
        <v>2900</v>
      </c>
      <c r="J319" s="724">
        <f>'preturi unitare'!H40</f>
        <v>154</v>
      </c>
      <c r="K319" s="724">
        <f>I319*J319</f>
        <v>446600</v>
      </c>
      <c r="L319" s="401">
        <v>0</v>
      </c>
      <c r="M319" s="835">
        <f t="shared" si="31"/>
        <v>446600</v>
      </c>
      <c r="N319" s="1291">
        <v>0</v>
      </c>
      <c r="O319" s="1597"/>
      <c r="P319" s="1597"/>
      <c r="Q319" s="1662"/>
    </row>
    <row r="320" spans="1:19" s="382" customFormat="1" ht="30">
      <c r="A320" s="1672"/>
      <c r="B320" s="1659" t="s">
        <v>1451</v>
      </c>
      <c r="C320" s="1713" t="s">
        <v>723</v>
      </c>
      <c r="D320" s="1514">
        <f>D301</f>
        <v>936</v>
      </c>
      <c r="E320" s="1513">
        <f>D320</f>
        <v>936</v>
      </c>
      <c r="F320" s="468" t="s">
        <v>323</v>
      </c>
      <c r="G320" s="439" t="s">
        <v>1308</v>
      </c>
      <c r="H320" s="469" t="s">
        <v>280</v>
      </c>
      <c r="I320" s="717">
        <v>1</v>
      </c>
      <c r="J320" s="717">
        <f>'preturi unitare'!O29</f>
        <v>165500</v>
      </c>
      <c r="K320" s="717">
        <f>I320*J320</f>
        <v>165500</v>
      </c>
      <c r="L320" s="401">
        <v>0</v>
      </c>
      <c r="M320" s="835">
        <f t="shared" si="31"/>
        <v>165500</v>
      </c>
      <c r="N320" s="1291">
        <v>0</v>
      </c>
      <c r="O320" s="1515">
        <f>SUM(M320:M321)</f>
        <v>843100</v>
      </c>
      <c r="P320" s="1515">
        <f>O320/D320</f>
        <v>900.74786324786328</v>
      </c>
      <c r="Q320" s="1661" t="s">
        <v>1608</v>
      </c>
    </row>
    <row r="321" spans="1:17" s="382" customFormat="1" ht="30">
      <c r="A321" s="1672"/>
      <c r="B321" s="1660"/>
      <c r="C321" s="1713"/>
      <c r="D321" s="1514"/>
      <c r="E321" s="1505"/>
      <c r="F321" s="468" t="s">
        <v>325</v>
      </c>
      <c r="G321" s="439" t="s">
        <v>1309</v>
      </c>
      <c r="H321" s="440" t="s">
        <v>160</v>
      </c>
      <c r="I321" s="717">
        <f>I303+I304</f>
        <v>4400</v>
      </c>
      <c r="J321" s="717">
        <f>'preturi unitare'!H40</f>
        <v>154</v>
      </c>
      <c r="K321" s="717">
        <f>J321*I321</f>
        <v>677600</v>
      </c>
      <c r="L321" s="401">
        <v>0</v>
      </c>
      <c r="M321" s="835">
        <f t="shared" si="31"/>
        <v>677600</v>
      </c>
      <c r="N321" s="1291">
        <v>0</v>
      </c>
      <c r="O321" s="1515"/>
      <c r="P321" s="1515"/>
      <c r="Q321" s="1662"/>
    </row>
    <row r="322" spans="1:17" s="382" customFormat="1" ht="45">
      <c r="A322" s="1672"/>
      <c r="B322" s="735" t="s">
        <v>1451</v>
      </c>
      <c r="C322" s="738" t="s">
        <v>724</v>
      </c>
      <c r="D322" s="733">
        <f>D306</f>
        <v>127</v>
      </c>
      <c r="E322" s="733">
        <f>D322</f>
        <v>127</v>
      </c>
      <c r="F322" s="468" t="s">
        <v>323</v>
      </c>
      <c r="G322" s="400" t="s">
        <v>725</v>
      </c>
      <c r="H322" s="970" t="s">
        <v>1322</v>
      </c>
      <c r="I322" s="714">
        <v>1</v>
      </c>
      <c r="J322" s="714">
        <f>'preturi unitare'!L4</f>
        <v>70000</v>
      </c>
      <c r="K322" s="714">
        <f>I322*J322</f>
        <v>70000</v>
      </c>
      <c r="L322" s="334">
        <v>0</v>
      </c>
      <c r="M322" s="835">
        <f>K322</f>
        <v>70000</v>
      </c>
      <c r="N322" s="1291">
        <v>0</v>
      </c>
      <c r="O322" s="729">
        <f>K322</f>
        <v>70000</v>
      </c>
      <c r="P322" s="729">
        <f>O322/D322</f>
        <v>551.18110236220468</v>
      </c>
      <c r="Q322" s="981" t="s">
        <v>1609</v>
      </c>
    </row>
    <row r="323" spans="1:17" s="382" customFormat="1">
      <c r="A323" s="820"/>
      <c r="B323" s="722"/>
      <c r="C323" s="722"/>
      <c r="D323" s="722"/>
      <c r="E323" s="722"/>
      <c r="F323" s="721"/>
      <c r="G323" s="384"/>
      <c r="H323" s="714"/>
      <c r="I323" s="714"/>
      <c r="J323" s="714"/>
      <c r="K323" s="714"/>
      <c r="L323" s="334"/>
      <c r="M323" s="334"/>
      <c r="N323" s="326"/>
      <c r="O323" s="729"/>
      <c r="P323" s="729"/>
      <c r="Q323" s="587"/>
    </row>
    <row r="324" spans="1:17" s="382" customFormat="1">
      <c r="A324" s="1502" t="s">
        <v>409</v>
      </c>
      <c r="B324" s="1502"/>
      <c r="C324" s="1502"/>
      <c r="D324" s="1502"/>
      <c r="E324" s="1502"/>
      <c r="F324" s="1502"/>
      <c r="G324" s="1502"/>
      <c r="H324" s="600"/>
      <c r="I324" s="364"/>
      <c r="J324" s="364"/>
      <c r="K324" s="364">
        <f>SUM(K315:K322)</f>
        <v>2303900</v>
      </c>
      <c r="L324" s="365">
        <f>SUM(L320:L322)</f>
        <v>0</v>
      </c>
      <c r="M324" s="365">
        <f>SUM(M315:M322)</f>
        <v>2303900</v>
      </c>
      <c r="N324" s="364">
        <f>SUM(N315:N322)</f>
        <v>0</v>
      </c>
      <c r="O324" s="714"/>
      <c r="P324" s="714"/>
      <c r="Q324" s="587"/>
    </row>
    <row r="325" spans="1:17" s="382" customFormat="1">
      <c r="A325" s="405"/>
      <c r="B325" s="742"/>
      <c r="C325" s="742"/>
      <c r="D325" s="742"/>
      <c r="E325" s="742"/>
      <c r="F325" s="721"/>
      <c r="G325" s="328"/>
      <c r="H325" s="596"/>
      <c r="I325" s="714"/>
      <c r="J325" s="714"/>
      <c r="K325" s="714"/>
      <c r="L325" s="334"/>
      <c r="M325" s="334"/>
      <c r="N325" s="714"/>
      <c r="O325" s="714"/>
      <c r="P325" s="714"/>
      <c r="Q325" s="587"/>
    </row>
    <row r="326" spans="1:17" s="382" customFormat="1" ht="15" customHeight="1" thickBot="1">
      <c r="A326" s="1752" t="s">
        <v>411</v>
      </c>
      <c r="B326" s="1752"/>
      <c r="C326" s="1752"/>
      <c r="D326" s="1752"/>
      <c r="E326" s="1752"/>
      <c r="F326" s="1752"/>
      <c r="G326" s="1752"/>
      <c r="H326" s="863"/>
      <c r="I326" s="581"/>
      <c r="J326" s="581"/>
      <c r="K326" s="582">
        <f>K311+K324</f>
        <v>4895900</v>
      </c>
      <c r="L326" s="583">
        <f>L311+L324</f>
        <v>2416000</v>
      </c>
      <c r="M326" s="583">
        <f>M311+M324</f>
        <v>2479900</v>
      </c>
      <c r="N326" s="582">
        <f>N311+N324</f>
        <v>0</v>
      </c>
      <c r="O326" s="581"/>
      <c r="P326" s="581"/>
      <c r="Q326" s="816"/>
    </row>
    <row r="327" spans="1:17" s="382" customFormat="1" ht="15.75" thickBot="1">
      <c r="A327" s="406"/>
      <c r="B327" s="594"/>
      <c r="C327" s="594"/>
      <c r="D327" s="594"/>
      <c r="E327" s="594"/>
      <c r="F327" s="594"/>
      <c r="G327" s="594"/>
      <c r="H327" s="632"/>
      <c r="I327" s="716"/>
      <c r="J327" s="716"/>
      <c r="K327" s="626"/>
      <c r="L327" s="592"/>
      <c r="M327" s="592"/>
      <c r="N327" s="626"/>
      <c r="O327" s="716"/>
      <c r="P327" s="716"/>
      <c r="Q327" s="586"/>
    </row>
    <row r="328" spans="1:17" s="382" customFormat="1" ht="15.75" thickBot="1">
      <c r="A328" s="859"/>
      <c r="B328" s="639"/>
      <c r="C328" s="639"/>
      <c r="D328" s="639"/>
      <c r="E328" s="639"/>
      <c r="F328" s="846"/>
      <c r="G328" s="577" t="s">
        <v>1887</v>
      </c>
      <c r="H328" s="847"/>
      <c r="I328" s="840"/>
      <c r="J328" s="853"/>
      <c r="K328" s="841"/>
      <c r="L328" s="640"/>
      <c r="M328" s="640"/>
      <c r="N328" s="639"/>
      <c r="O328" s="853"/>
      <c r="P328" s="853"/>
      <c r="Q328" s="642"/>
    </row>
    <row r="329" spans="1:17" s="382" customFormat="1" ht="15.75" thickBot="1">
      <c r="A329" s="860"/>
      <c r="B329" s="864"/>
      <c r="C329" s="864"/>
      <c r="D329" s="864"/>
      <c r="E329" s="864"/>
      <c r="F329" s="865"/>
      <c r="G329" s="867"/>
      <c r="H329" s="789"/>
      <c r="I329" s="358"/>
      <c r="J329" s="358"/>
      <c r="K329" s="358"/>
      <c r="L329" s="359"/>
      <c r="M329" s="359"/>
      <c r="N329" s="358"/>
      <c r="O329" s="419"/>
      <c r="P329" s="419"/>
      <c r="Q329" s="643"/>
    </row>
    <row r="330" spans="1:17" s="382" customFormat="1" ht="60" customHeight="1">
      <c r="A330" s="1608" t="s">
        <v>632</v>
      </c>
      <c r="B330" s="1544" t="s">
        <v>617</v>
      </c>
      <c r="C330" s="1538" t="s">
        <v>610</v>
      </c>
      <c r="D330" s="1538" t="s">
        <v>611</v>
      </c>
      <c r="E330" s="1538" t="s">
        <v>1453</v>
      </c>
      <c r="F330" s="1472" t="s">
        <v>159</v>
      </c>
      <c r="G330" s="1509" t="s">
        <v>110</v>
      </c>
      <c r="H330" s="1477" t="s">
        <v>316</v>
      </c>
      <c r="I330" s="1472" t="s">
        <v>315</v>
      </c>
      <c r="J330" s="1472" t="s">
        <v>317</v>
      </c>
      <c r="K330" s="1472" t="s">
        <v>318</v>
      </c>
      <c r="L330" s="569" t="s">
        <v>1443</v>
      </c>
      <c r="M330" s="569" t="s">
        <v>1444</v>
      </c>
      <c r="N330" s="709" t="s">
        <v>1445</v>
      </c>
      <c r="O330" s="1477" t="s">
        <v>1673</v>
      </c>
      <c r="P330" s="1477" t="s">
        <v>1307</v>
      </c>
      <c r="Q330" s="1495" t="s">
        <v>1454</v>
      </c>
    </row>
    <row r="331" spans="1:17" s="382" customFormat="1" ht="15.75" thickBot="1">
      <c r="A331" s="1609"/>
      <c r="B331" s="1545"/>
      <c r="C331" s="1674"/>
      <c r="D331" s="1674"/>
      <c r="E331" s="1674"/>
      <c r="F331" s="1664"/>
      <c r="G331" s="1775"/>
      <c r="H331" s="1663"/>
      <c r="I331" s="1664"/>
      <c r="J331" s="1664"/>
      <c r="K331" s="1664"/>
      <c r="L331" s="1026" t="s">
        <v>805</v>
      </c>
      <c r="M331" s="1026" t="s">
        <v>805</v>
      </c>
      <c r="N331" s="1027" t="s">
        <v>1149</v>
      </c>
      <c r="O331" s="1663"/>
      <c r="P331" s="1663"/>
      <c r="Q331" s="1683"/>
    </row>
    <row r="332" spans="1:17" s="382" customFormat="1" ht="48" customHeight="1">
      <c r="A332" s="1665" t="s">
        <v>622</v>
      </c>
      <c r="B332" s="1611" t="s">
        <v>622</v>
      </c>
      <c r="C332" s="1567" t="s">
        <v>622</v>
      </c>
      <c r="D332" s="1714">
        <v>682</v>
      </c>
      <c r="E332" s="1602">
        <f>D332</f>
        <v>682</v>
      </c>
      <c r="F332" s="1128" t="s">
        <v>323</v>
      </c>
      <c r="G332" s="362" t="s">
        <v>1960</v>
      </c>
      <c r="H332" s="807" t="s">
        <v>280</v>
      </c>
      <c r="I332" s="1119">
        <v>1</v>
      </c>
      <c r="J332" s="1121">
        <f>'preturi unitare'!O32</f>
        <v>217000</v>
      </c>
      <c r="K332" s="1121">
        <f t="shared" ref="K332" si="32">I332*J332</f>
        <v>217000</v>
      </c>
      <c r="L332" s="401">
        <v>0</v>
      </c>
      <c r="M332" s="401">
        <f>K332</f>
        <v>217000</v>
      </c>
      <c r="N332" s="1022">
        <v>0</v>
      </c>
      <c r="O332" s="1511">
        <f>SUM(K332:K336)</f>
        <v>1970100</v>
      </c>
      <c r="P332" s="1511">
        <f>O332/(E332+E334)</f>
        <v>1247.6884103863204</v>
      </c>
      <c r="Q332" s="1647" t="s">
        <v>1677</v>
      </c>
    </row>
    <row r="333" spans="1:17" s="382" customFormat="1" ht="30">
      <c r="A333" s="1635"/>
      <c r="B333" s="1626"/>
      <c r="C333" s="1567"/>
      <c r="D333" s="1714"/>
      <c r="E333" s="1602"/>
      <c r="F333" s="1128" t="s">
        <v>325</v>
      </c>
      <c r="G333" s="362" t="s">
        <v>527</v>
      </c>
      <c r="H333" s="1119" t="s">
        <v>160</v>
      </c>
      <c r="I333" s="1119">
        <v>4800</v>
      </c>
      <c r="J333" s="1121">
        <f>'preturi unitare'!H40</f>
        <v>154</v>
      </c>
      <c r="K333" s="1121">
        <f t="shared" ref="K333:K338" si="33">I333*J333</f>
        <v>739200</v>
      </c>
      <c r="L333" s="401">
        <v>0</v>
      </c>
      <c r="M333" s="401">
        <f t="shared" ref="M333:M338" si="34">K333</f>
        <v>739200</v>
      </c>
      <c r="N333" s="1287">
        <v>0</v>
      </c>
      <c r="O333" s="1480"/>
      <c r="P333" s="1480"/>
      <c r="Q333" s="1648"/>
    </row>
    <row r="334" spans="1:17" s="382" customFormat="1" ht="30">
      <c r="A334" s="1635"/>
      <c r="B334" s="1626"/>
      <c r="C334" s="1625" t="s">
        <v>1461</v>
      </c>
      <c r="D334" s="1606">
        <v>897</v>
      </c>
      <c r="E334" s="1602">
        <f>D334</f>
        <v>897</v>
      </c>
      <c r="F334" s="1600" t="s">
        <v>325</v>
      </c>
      <c r="G334" s="362" t="s">
        <v>528</v>
      </c>
      <c r="H334" s="1119" t="s">
        <v>160</v>
      </c>
      <c r="I334" s="1119">
        <v>2600</v>
      </c>
      <c r="J334" s="1121">
        <f>'preturi unitare'!H40</f>
        <v>154</v>
      </c>
      <c r="K334" s="1121">
        <f t="shared" si="33"/>
        <v>400400</v>
      </c>
      <c r="L334" s="401">
        <v>0</v>
      </c>
      <c r="M334" s="401">
        <f t="shared" si="34"/>
        <v>400400</v>
      </c>
      <c r="N334" s="1287">
        <v>0</v>
      </c>
      <c r="O334" s="1480"/>
      <c r="P334" s="1480"/>
      <c r="Q334" s="1647" t="s">
        <v>1678</v>
      </c>
    </row>
    <row r="335" spans="1:17" s="382" customFormat="1" ht="30" customHeight="1">
      <c r="A335" s="1568"/>
      <c r="B335" s="1626"/>
      <c r="C335" s="1626"/>
      <c r="D335" s="1628"/>
      <c r="E335" s="1602"/>
      <c r="F335" s="1600"/>
      <c r="G335" s="362" t="s">
        <v>1343</v>
      </c>
      <c r="H335" s="807" t="s">
        <v>160</v>
      </c>
      <c r="I335" s="1119">
        <v>2500</v>
      </c>
      <c r="J335" s="1121">
        <f>'preturi unitare'!H41</f>
        <v>165</v>
      </c>
      <c r="K335" s="1121">
        <f t="shared" si="33"/>
        <v>412500</v>
      </c>
      <c r="L335" s="401">
        <v>0</v>
      </c>
      <c r="M335" s="401">
        <f t="shared" si="34"/>
        <v>412500</v>
      </c>
      <c r="N335" s="1287">
        <v>0</v>
      </c>
      <c r="O335" s="1480"/>
      <c r="P335" s="1480"/>
      <c r="Q335" s="1682"/>
    </row>
    <row r="336" spans="1:17" s="382" customFormat="1" ht="30" customHeight="1">
      <c r="A336" s="1568"/>
      <c r="B336" s="1599"/>
      <c r="C336" s="1599"/>
      <c r="D336" s="1607"/>
      <c r="E336" s="1602"/>
      <c r="F336" s="1162" t="s">
        <v>324</v>
      </c>
      <c r="G336" s="1174" t="s">
        <v>1961</v>
      </c>
      <c r="H336" s="1" t="s">
        <v>280</v>
      </c>
      <c r="I336" s="310">
        <v>3</v>
      </c>
      <c r="J336" s="1121">
        <f>'preturi unitare'!B32</f>
        <v>67000</v>
      </c>
      <c r="K336" s="1121">
        <f t="shared" si="33"/>
        <v>201000</v>
      </c>
      <c r="L336" s="401">
        <v>0</v>
      </c>
      <c r="M336" s="401">
        <f t="shared" si="34"/>
        <v>201000</v>
      </c>
      <c r="N336" s="1287">
        <v>0</v>
      </c>
      <c r="O336" s="1481"/>
      <c r="P336" s="1481"/>
      <c r="Q336" s="1648"/>
    </row>
    <row r="337" spans="1:17" s="382" customFormat="1" ht="30" customHeight="1">
      <c r="A337" s="1568"/>
      <c r="B337" s="1625" t="s">
        <v>1451</v>
      </c>
      <c r="C337" s="1567" t="s">
        <v>1675</v>
      </c>
      <c r="D337" s="1602">
        <v>558</v>
      </c>
      <c r="E337" s="1602">
        <v>558</v>
      </c>
      <c r="F337" s="1128" t="s">
        <v>323</v>
      </c>
      <c r="G337" s="362" t="s">
        <v>1676</v>
      </c>
      <c r="H337" s="807" t="s">
        <v>280</v>
      </c>
      <c r="I337" s="1119">
        <v>1</v>
      </c>
      <c r="J337" s="1121">
        <f>'preturi unitare'!O27</f>
        <v>106500</v>
      </c>
      <c r="K337" s="1121">
        <f t="shared" si="33"/>
        <v>106500</v>
      </c>
      <c r="L337" s="401">
        <v>0</v>
      </c>
      <c r="M337" s="401">
        <f t="shared" si="34"/>
        <v>106500</v>
      </c>
      <c r="N337" s="1287">
        <v>0</v>
      </c>
      <c r="O337" s="1511">
        <f>SUM(K337:K338)</f>
        <v>915000</v>
      </c>
      <c r="P337" s="1511">
        <f>O337/E337</f>
        <v>1639.7849462365591</v>
      </c>
      <c r="Q337" s="1647" t="s">
        <v>1679</v>
      </c>
    </row>
    <row r="338" spans="1:17" s="382" customFormat="1" ht="30" customHeight="1">
      <c r="A338" s="1568"/>
      <c r="B338" s="1612"/>
      <c r="C338" s="1567"/>
      <c r="D338" s="1602"/>
      <c r="E338" s="1602"/>
      <c r="F338" s="1128" t="s">
        <v>325</v>
      </c>
      <c r="G338" s="362" t="s">
        <v>529</v>
      </c>
      <c r="H338" s="1119" t="s">
        <v>160</v>
      </c>
      <c r="I338" s="1119">
        <v>4900</v>
      </c>
      <c r="J338" s="1121">
        <f>J335</f>
        <v>165</v>
      </c>
      <c r="K338" s="1117">
        <f t="shared" si="33"/>
        <v>808500</v>
      </c>
      <c r="L338" s="401">
        <v>0</v>
      </c>
      <c r="M338" s="401">
        <f t="shared" si="34"/>
        <v>808500</v>
      </c>
      <c r="N338" s="1287">
        <v>0</v>
      </c>
      <c r="O338" s="1512"/>
      <c r="P338" s="1512"/>
      <c r="Q338" s="1648"/>
    </row>
    <row r="339" spans="1:17" s="382" customFormat="1" ht="45">
      <c r="A339" s="1568"/>
      <c r="B339" s="718" t="s">
        <v>1451</v>
      </c>
      <c r="C339" s="1033" t="s">
        <v>623</v>
      </c>
      <c r="D339" s="733">
        <v>180</v>
      </c>
      <c r="E339" s="733">
        <f>D339</f>
        <v>180</v>
      </c>
      <c r="F339" s="1128" t="s">
        <v>323</v>
      </c>
      <c r="G339" s="329" t="s">
        <v>594</v>
      </c>
      <c r="H339" s="807" t="s">
        <v>1322</v>
      </c>
      <c r="I339" s="1119">
        <v>1</v>
      </c>
      <c r="J339" s="1119">
        <f>'preturi unitare'!L4</f>
        <v>70000</v>
      </c>
      <c r="K339" s="1119">
        <f>J339*I339</f>
        <v>70000</v>
      </c>
      <c r="L339" s="334">
        <v>0</v>
      </c>
      <c r="M339" s="401">
        <f>K339</f>
        <v>70000</v>
      </c>
      <c r="N339" s="1287">
        <v>0</v>
      </c>
      <c r="O339" s="729">
        <f>K339</f>
        <v>70000</v>
      </c>
      <c r="P339" s="729">
        <f>O339/D339</f>
        <v>388.88888888888891</v>
      </c>
      <c r="Q339" s="981" t="s">
        <v>1610</v>
      </c>
    </row>
    <row r="340" spans="1:17" s="382" customFormat="1" ht="45">
      <c r="A340" s="1568"/>
      <c r="B340" s="718" t="s">
        <v>1451</v>
      </c>
      <c r="C340" s="722" t="s">
        <v>624</v>
      </c>
      <c r="D340" s="733">
        <v>265</v>
      </c>
      <c r="E340" s="733">
        <f>D340</f>
        <v>265</v>
      </c>
      <c r="F340" s="1128" t="s">
        <v>323</v>
      </c>
      <c r="G340" s="329" t="s">
        <v>595</v>
      </c>
      <c r="H340" s="807" t="s">
        <v>1322</v>
      </c>
      <c r="I340" s="1119">
        <v>1</v>
      </c>
      <c r="J340" s="1119">
        <f>'preturi unitare'!L4</f>
        <v>70000</v>
      </c>
      <c r="K340" s="1119">
        <f>J340*I340</f>
        <v>70000</v>
      </c>
      <c r="L340" s="334">
        <v>0</v>
      </c>
      <c r="M340" s="401">
        <f>K340</f>
        <v>70000</v>
      </c>
      <c r="N340" s="1287">
        <v>0</v>
      </c>
      <c r="O340" s="729">
        <f>K340</f>
        <v>70000</v>
      </c>
      <c r="P340" s="729">
        <f>O340/D340</f>
        <v>264.15094339622641</v>
      </c>
      <c r="Q340" s="981" t="s">
        <v>1611</v>
      </c>
    </row>
    <row r="341" spans="1:17" s="382" customFormat="1">
      <c r="A341" s="820"/>
      <c r="B341" s="722"/>
      <c r="C341" s="722"/>
      <c r="D341" s="722"/>
      <c r="E341" s="722"/>
      <c r="F341" s="721"/>
      <c r="G341" s="384"/>
      <c r="H341" s="368"/>
      <c r="I341" s="368"/>
      <c r="J341" s="368"/>
      <c r="K341" s="368"/>
      <c r="L341" s="334"/>
      <c r="M341" s="334"/>
      <c r="N341" s="714"/>
      <c r="O341" s="405"/>
      <c r="P341" s="405"/>
      <c r="Q341" s="587"/>
    </row>
    <row r="342" spans="1:17" s="382" customFormat="1">
      <c r="A342" s="868" t="s">
        <v>328</v>
      </c>
      <c r="B342" s="869"/>
      <c r="C342" s="869"/>
      <c r="D342" s="869"/>
      <c r="E342" s="869"/>
      <c r="F342" s="869"/>
      <c r="G342" s="870"/>
      <c r="H342" s="408"/>
      <c r="I342" s="408"/>
      <c r="J342" s="408"/>
      <c r="K342" s="408">
        <f>SUM(K332:K340)</f>
        <v>3025100</v>
      </c>
      <c r="L342" s="365">
        <f>SUM(L332:L340)</f>
        <v>0</v>
      </c>
      <c r="M342" s="365">
        <f>SUM(M332:M340)</f>
        <v>3025100</v>
      </c>
      <c r="N342" s="408">
        <f>SUM(N332:N340)</f>
        <v>0</v>
      </c>
      <c r="O342" s="589"/>
      <c r="P342" s="802"/>
      <c r="Q342" s="587"/>
    </row>
    <row r="343" spans="1:17" s="382" customFormat="1">
      <c r="A343" s="820"/>
      <c r="B343" s="416"/>
      <c r="C343" s="416"/>
      <c r="D343" s="416"/>
      <c r="E343" s="416"/>
      <c r="F343" s="734"/>
      <c r="G343" s="391"/>
      <c r="H343" s="389"/>
      <c r="I343" s="389"/>
      <c r="J343" s="389"/>
      <c r="K343" s="389"/>
      <c r="L343" s="389"/>
      <c r="M343" s="389"/>
      <c r="N343" s="389"/>
      <c r="O343" s="387"/>
      <c r="P343" s="387"/>
      <c r="Q343" s="587"/>
    </row>
    <row r="344" spans="1:17" s="382" customFormat="1" ht="15.75" customHeight="1" thickBot="1">
      <c r="A344" s="1666" t="s">
        <v>327</v>
      </c>
      <c r="B344" s="1667"/>
      <c r="C344" s="1667"/>
      <c r="D344" s="1667"/>
      <c r="E344" s="1667"/>
      <c r="F344" s="1667"/>
      <c r="G344" s="1668"/>
      <c r="H344" s="590"/>
      <c r="I344" s="590"/>
      <c r="J344" s="590"/>
      <c r="K344" s="591">
        <f>K342</f>
        <v>3025100</v>
      </c>
      <c r="L344" s="583">
        <f>L342</f>
        <v>0</v>
      </c>
      <c r="M344" s="583">
        <f>M342</f>
        <v>3025100</v>
      </c>
      <c r="N344" s="591">
        <f>N342</f>
        <v>0</v>
      </c>
      <c r="O344" s="580"/>
      <c r="P344" s="580"/>
      <c r="Q344" s="816"/>
    </row>
    <row r="345" spans="1:17" s="382" customFormat="1" ht="15.75" thickBot="1">
      <c r="A345" s="844"/>
      <c r="B345" s="871"/>
      <c r="C345" s="871"/>
      <c r="D345" s="871"/>
      <c r="E345" s="871"/>
      <c r="F345" s="595"/>
      <c r="G345" s="595"/>
      <c r="H345" s="716"/>
      <c r="I345" s="716"/>
      <c r="J345" s="716"/>
      <c r="K345" s="626"/>
      <c r="L345" s="592"/>
      <c r="M345" s="592"/>
      <c r="N345" s="626"/>
      <c r="O345" s="716"/>
      <c r="P345" s="716"/>
      <c r="Q345" s="586"/>
    </row>
    <row r="346" spans="1:17" s="382" customFormat="1" ht="15.75" thickBot="1">
      <c r="A346" s="859"/>
      <c r="B346" s="639"/>
      <c r="C346" s="639"/>
      <c r="D346" s="639"/>
      <c r="E346" s="639"/>
      <c r="F346" s="846"/>
      <c r="G346" s="599" t="s">
        <v>1888</v>
      </c>
      <c r="H346" s="1753"/>
      <c r="I346" s="1754"/>
      <c r="J346" s="1754"/>
      <c r="K346" s="639"/>
      <c r="L346" s="640"/>
      <c r="M346" s="640"/>
      <c r="N346" s="841"/>
      <c r="O346" s="712"/>
      <c r="P346" s="712"/>
      <c r="Q346" s="642"/>
    </row>
    <row r="347" spans="1:17" s="382" customFormat="1" ht="15.75" thickBot="1">
      <c r="A347" s="860"/>
      <c r="B347" s="355"/>
      <c r="C347" s="355"/>
      <c r="D347" s="355"/>
      <c r="E347" s="355"/>
      <c r="F347" s="356"/>
      <c r="G347" s="576"/>
      <c r="H347" s="358"/>
      <c r="I347" s="358"/>
      <c r="J347" s="358"/>
      <c r="K347" s="358"/>
      <c r="L347" s="359"/>
      <c r="M347" s="359"/>
      <c r="N347" s="358"/>
      <c r="O347" s="732"/>
      <c r="P347" s="732"/>
      <c r="Q347" s="643"/>
    </row>
    <row r="348" spans="1:17" s="382" customFormat="1" ht="60" customHeight="1">
      <c r="A348" s="1562" t="s">
        <v>632</v>
      </c>
      <c r="B348" s="1538" t="s">
        <v>676</v>
      </c>
      <c r="C348" s="1538" t="s">
        <v>610</v>
      </c>
      <c r="D348" s="1538" t="s">
        <v>611</v>
      </c>
      <c r="E348" s="1564" t="s">
        <v>1462</v>
      </c>
      <c r="F348" s="1472" t="s">
        <v>159</v>
      </c>
      <c r="G348" s="1509" t="s">
        <v>110</v>
      </c>
      <c r="H348" s="1477" t="s">
        <v>316</v>
      </c>
      <c r="I348" s="1472" t="s">
        <v>315</v>
      </c>
      <c r="J348" s="1472" t="s">
        <v>317</v>
      </c>
      <c r="K348" s="1472" t="s">
        <v>318</v>
      </c>
      <c r="L348" s="569" t="s">
        <v>1443</v>
      </c>
      <c r="M348" s="569" t="s">
        <v>1444</v>
      </c>
      <c r="N348" s="709" t="s">
        <v>1445</v>
      </c>
      <c r="O348" s="1477" t="s">
        <v>1673</v>
      </c>
      <c r="P348" s="1477" t="s">
        <v>1307</v>
      </c>
      <c r="Q348" s="1495" t="s">
        <v>1454</v>
      </c>
    </row>
    <row r="349" spans="1:17" s="382" customFormat="1" ht="15.75" thickBot="1">
      <c r="A349" s="1563"/>
      <c r="B349" s="1539"/>
      <c r="C349" s="1539"/>
      <c r="D349" s="1539"/>
      <c r="E349" s="1565"/>
      <c r="F349" s="1473"/>
      <c r="G349" s="1510"/>
      <c r="H349" s="1478"/>
      <c r="I349" s="1473"/>
      <c r="J349" s="1473"/>
      <c r="K349" s="1473"/>
      <c r="L349" s="570" t="s">
        <v>805</v>
      </c>
      <c r="M349" s="570" t="s">
        <v>805</v>
      </c>
      <c r="N349" s="710" t="s">
        <v>1149</v>
      </c>
      <c r="O349" s="1478"/>
      <c r="P349" s="1478"/>
      <c r="Q349" s="1496"/>
    </row>
    <row r="350" spans="1:17" s="382" customFormat="1" ht="30" customHeight="1">
      <c r="A350" s="1665" t="s">
        <v>1463</v>
      </c>
      <c r="B350" s="1758" t="s">
        <v>1463</v>
      </c>
      <c r="C350" s="1566" t="s">
        <v>1695</v>
      </c>
      <c r="D350" s="1677">
        <v>4003</v>
      </c>
      <c r="E350" s="1601" t="s">
        <v>1451</v>
      </c>
      <c r="F350" s="743" t="s">
        <v>140</v>
      </c>
      <c r="G350" s="1080" t="s">
        <v>519</v>
      </c>
      <c r="H350" s="1029" t="s">
        <v>280</v>
      </c>
      <c r="I350" s="1053">
        <v>1</v>
      </c>
      <c r="J350" s="1053">
        <v>250000</v>
      </c>
      <c r="K350" s="1053">
        <f>I350*J350</f>
        <v>250000</v>
      </c>
      <c r="L350" s="939">
        <f t="shared" ref="L350" si="35">K350</f>
        <v>250000</v>
      </c>
      <c r="M350" s="939">
        <v>0</v>
      </c>
      <c r="N350" s="1081">
        <v>0</v>
      </c>
      <c r="O350" s="1555">
        <f>SUM(L350:L351)</f>
        <v>600000</v>
      </c>
      <c r="P350" s="1555">
        <f>O350/D350</f>
        <v>149.88758431176618</v>
      </c>
      <c r="Q350" s="1669" t="s">
        <v>1697</v>
      </c>
    </row>
    <row r="351" spans="1:17" s="382" customFormat="1" ht="43.5" customHeight="1">
      <c r="A351" s="1568"/>
      <c r="B351" s="1701"/>
      <c r="C351" s="1567"/>
      <c r="D351" s="1577"/>
      <c r="E351" s="1602"/>
      <c r="F351" s="1035" t="s">
        <v>676</v>
      </c>
      <c r="G351" s="329" t="s">
        <v>520</v>
      </c>
      <c r="H351" s="1030" t="s">
        <v>280</v>
      </c>
      <c r="I351" s="1043">
        <v>1</v>
      </c>
      <c r="J351" s="1043">
        <v>350000</v>
      </c>
      <c r="K351" s="1043">
        <f>I351*J351</f>
        <v>350000</v>
      </c>
      <c r="L351" s="334">
        <f>K351</f>
        <v>350000</v>
      </c>
      <c r="M351" s="334">
        <v>0</v>
      </c>
      <c r="N351" s="385">
        <v>0</v>
      </c>
      <c r="O351" s="1482"/>
      <c r="P351" s="1482"/>
      <c r="Q351" s="1670"/>
    </row>
    <row r="352" spans="1:17" s="382" customFormat="1" ht="30" customHeight="1">
      <c r="A352" s="1568"/>
      <c r="B352" s="1701"/>
      <c r="C352" s="1567" t="s">
        <v>1466</v>
      </c>
      <c r="D352" s="1577">
        <v>401</v>
      </c>
      <c r="E352" s="1602" t="s">
        <v>1451</v>
      </c>
      <c r="F352" s="1182" t="s">
        <v>140</v>
      </c>
      <c r="G352" s="329" t="s">
        <v>1263</v>
      </c>
      <c r="H352" s="1030" t="s">
        <v>280</v>
      </c>
      <c r="I352" s="1043">
        <v>1</v>
      </c>
      <c r="J352" s="1043">
        <f>'preturi unitare'!O4</f>
        <v>125000</v>
      </c>
      <c r="K352" s="1043">
        <f>I352*J352</f>
        <v>125000</v>
      </c>
      <c r="L352" s="334">
        <f>K352</f>
        <v>125000</v>
      </c>
      <c r="M352" s="334">
        <v>0</v>
      </c>
      <c r="N352" s="385">
        <v>0</v>
      </c>
      <c r="O352" s="1482">
        <f>SUM(L352:L362)</f>
        <v>1318000</v>
      </c>
      <c r="P352" s="1482">
        <f>O352/D352</f>
        <v>3286.783042394015</v>
      </c>
      <c r="Q352" s="1581" t="s">
        <v>1698</v>
      </c>
    </row>
    <row r="353" spans="1:19" s="382" customFormat="1" ht="45">
      <c r="A353" s="1568"/>
      <c r="B353" s="1701"/>
      <c r="C353" s="1567"/>
      <c r="D353" s="1577"/>
      <c r="E353" s="1577"/>
      <c r="F353" s="1035" t="s">
        <v>676</v>
      </c>
      <c r="G353" s="329" t="s">
        <v>1264</v>
      </c>
      <c r="H353" s="1030" t="s">
        <v>280</v>
      </c>
      <c r="I353" s="1043">
        <v>1</v>
      </c>
      <c r="J353" s="1043">
        <v>35000</v>
      </c>
      <c r="K353" s="1043">
        <f t="shared" ref="K353:K362" si="36">I353*J353</f>
        <v>35000</v>
      </c>
      <c r="L353" s="334">
        <f t="shared" ref="L353:L362" si="37">K353</f>
        <v>35000</v>
      </c>
      <c r="M353" s="334">
        <v>0</v>
      </c>
      <c r="N353" s="385">
        <v>0</v>
      </c>
      <c r="O353" s="1482"/>
      <c r="P353" s="1482"/>
      <c r="Q353" s="1636"/>
    </row>
    <row r="354" spans="1:19" s="382" customFormat="1" ht="45">
      <c r="A354" s="1568"/>
      <c r="B354" s="1701"/>
      <c r="C354" s="1567"/>
      <c r="D354" s="1577"/>
      <c r="E354" s="1577"/>
      <c r="F354" s="1600" t="s">
        <v>322</v>
      </c>
      <c r="G354" s="362" t="s">
        <v>565</v>
      </c>
      <c r="H354" s="807" t="s">
        <v>160</v>
      </c>
      <c r="I354" s="1043">
        <v>1000</v>
      </c>
      <c r="J354" s="1043">
        <f>'preturi unitare'!H22</f>
        <v>64</v>
      </c>
      <c r="K354" s="1043">
        <f t="shared" si="36"/>
        <v>64000</v>
      </c>
      <c r="L354" s="334">
        <f t="shared" si="37"/>
        <v>64000</v>
      </c>
      <c r="M354" s="334">
        <v>0</v>
      </c>
      <c r="N354" s="385">
        <v>0</v>
      </c>
      <c r="O354" s="1482"/>
      <c r="P354" s="1482"/>
      <c r="Q354" s="1636"/>
    </row>
    <row r="355" spans="1:19" s="382" customFormat="1" ht="30">
      <c r="A355" s="1568"/>
      <c r="B355" s="1701"/>
      <c r="C355" s="1567"/>
      <c r="D355" s="1577"/>
      <c r="E355" s="1577"/>
      <c r="F355" s="1600"/>
      <c r="G355" s="362" t="s">
        <v>1265</v>
      </c>
      <c r="H355" s="807" t="s">
        <v>160</v>
      </c>
      <c r="I355" s="1043">
        <v>2000</v>
      </c>
      <c r="J355" s="1043">
        <f>J354</f>
        <v>64</v>
      </c>
      <c r="K355" s="1043">
        <f t="shared" si="36"/>
        <v>128000</v>
      </c>
      <c r="L355" s="334">
        <f t="shared" si="37"/>
        <v>128000</v>
      </c>
      <c r="M355" s="334">
        <v>0</v>
      </c>
      <c r="N355" s="385">
        <v>0</v>
      </c>
      <c r="O355" s="1482"/>
      <c r="P355" s="1482"/>
      <c r="Q355" s="1636"/>
    </row>
    <row r="356" spans="1:19" s="382" customFormat="1" ht="30">
      <c r="A356" s="1568"/>
      <c r="B356" s="1701"/>
      <c r="C356" s="1567"/>
      <c r="D356" s="1577"/>
      <c r="E356" s="1577"/>
      <c r="F356" s="1600"/>
      <c r="G356" s="362" t="s">
        <v>1266</v>
      </c>
      <c r="H356" s="807" t="s">
        <v>160</v>
      </c>
      <c r="I356" s="1043">
        <v>5000</v>
      </c>
      <c r="J356" s="1043">
        <f>'preturi unitare'!H23</f>
        <v>68</v>
      </c>
      <c r="K356" s="1043">
        <f t="shared" si="36"/>
        <v>340000</v>
      </c>
      <c r="L356" s="334">
        <f t="shared" si="37"/>
        <v>340000</v>
      </c>
      <c r="M356" s="334">
        <v>0</v>
      </c>
      <c r="N356" s="385">
        <v>0</v>
      </c>
      <c r="O356" s="1482"/>
      <c r="P356" s="1482"/>
      <c r="Q356" s="1636"/>
    </row>
    <row r="357" spans="1:19" s="382" customFormat="1" ht="30">
      <c r="A357" s="1568"/>
      <c r="B357" s="1701"/>
      <c r="C357" s="1567"/>
      <c r="D357" s="1577"/>
      <c r="E357" s="1577"/>
      <c r="F357" s="1600"/>
      <c r="G357" s="362" t="s">
        <v>1267</v>
      </c>
      <c r="H357" s="807" t="s">
        <v>160</v>
      </c>
      <c r="I357" s="1043">
        <v>5000</v>
      </c>
      <c r="J357" s="1043">
        <f>'preturi unitare'!H24</f>
        <v>79</v>
      </c>
      <c r="K357" s="1043">
        <f t="shared" si="36"/>
        <v>395000</v>
      </c>
      <c r="L357" s="334">
        <f t="shared" si="37"/>
        <v>395000</v>
      </c>
      <c r="M357" s="334">
        <v>0</v>
      </c>
      <c r="N357" s="385">
        <v>0</v>
      </c>
      <c r="O357" s="1482"/>
      <c r="P357" s="1482"/>
      <c r="Q357" s="1636"/>
    </row>
    <row r="358" spans="1:19" s="382" customFormat="1" ht="30" customHeight="1">
      <c r="A358" s="1568"/>
      <c r="B358" s="1701"/>
      <c r="C358" s="1567"/>
      <c r="D358" s="1577"/>
      <c r="E358" s="1577"/>
      <c r="F358" s="1600" t="s">
        <v>321</v>
      </c>
      <c r="G358" s="329" t="s">
        <v>1268</v>
      </c>
      <c r="H358" s="1030" t="s">
        <v>280</v>
      </c>
      <c r="I358" s="1043">
        <v>1</v>
      </c>
      <c r="J358" s="1043">
        <f>'preturi unitare'!H5</f>
        <v>70000</v>
      </c>
      <c r="K358" s="1043">
        <f t="shared" si="36"/>
        <v>70000</v>
      </c>
      <c r="L358" s="334">
        <f t="shared" si="37"/>
        <v>70000</v>
      </c>
      <c r="M358" s="334">
        <v>0</v>
      </c>
      <c r="N358" s="385">
        <v>0</v>
      </c>
      <c r="O358" s="1482"/>
      <c r="P358" s="1482"/>
      <c r="Q358" s="1636"/>
    </row>
    <row r="359" spans="1:19" s="382" customFormat="1">
      <c r="A359" s="1568"/>
      <c r="B359" s="1701"/>
      <c r="C359" s="1567"/>
      <c r="D359" s="1577"/>
      <c r="E359" s="1577"/>
      <c r="F359" s="1600"/>
      <c r="G359" s="329" t="s">
        <v>1269</v>
      </c>
      <c r="H359" s="1030" t="s">
        <v>280</v>
      </c>
      <c r="I359" s="1043">
        <v>1</v>
      </c>
      <c r="J359" s="1043">
        <f>J358</f>
        <v>70000</v>
      </c>
      <c r="K359" s="1043">
        <f t="shared" si="36"/>
        <v>70000</v>
      </c>
      <c r="L359" s="334">
        <f t="shared" si="37"/>
        <v>70000</v>
      </c>
      <c r="M359" s="334">
        <v>0</v>
      </c>
      <c r="N359" s="385">
        <v>0</v>
      </c>
      <c r="O359" s="1482"/>
      <c r="P359" s="1482"/>
      <c r="Q359" s="1636"/>
    </row>
    <row r="360" spans="1:19" s="382" customFormat="1" ht="32.25">
      <c r="A360" s="1568"/>
      <c r="B360" s="1701"/>
      <c r="C360" s="1567"/>
      <c r="D360" s="1577"/>
      <c r="E360" s="1577"/>
      <c r="F360" s="1600" t="s">
        <v>279</v>
      </c>
      <c r="G360" s="329" t="s">
        <v>1270</v>
      </c>
      <c r="H360" s="1030" t="s">
        <v>280</v>
      </c>
      <c r="I360" s="1043">
        <v>1</v>
      </c>
      <c r="J360" s="1043">
        <f>'preturi unitare'!E23</f>
        <v>21500</v>
      </c>
      <c r="K360" s="1043">
        <f t="shared" si="36"/>
        <v>21500</v>
      </c>
      <c r="L360" s="334">
        <f t="shared" si="37"/>
        <v>21500</v>
      </c>
      <c r="M360" s="334">
        <v>0</v>
      </c>
      <c r="N360" s="385">
        <v>0</v>
      </c>
      <c r="O360" s="1482"/>
      <c r="P360" s="1482"/>
      <c r="Q360" s="1636"/>
    </row>
    <row r="361" spans="1:19" s="382" customFormat="1" ht="30">
      <c r="A361" s="1568"/>
      <c r="B361" s="1701"/>
      <c r="C361" s="1567"/>
      <c r="D361" s="1577"/>
      <c r="E361" s="1577"/>
      <c r="F361" s="1600"/>
      <c r="G361" s="619" t="s">
        <v>1271</v>
      </c>
      <c r="H361" s="326" t="s">
        <v>280</v>
      </c>
      <c r="I361" s="1043">
        <v>1</v>
      </c>
      <c r="J361" s="1043">
        <f>'preturi unitare'!E23</f>
        <v>21500</v>
      </c>
      <c r="K361" s="1043">
        <f t="shared" si="36"/>
        <v>21500</v>
      </c>
      <c r="L361" s="334">
        <f t="shared" si="37"/>
        <v>21500</v>
      </c>
      <c r="M361" s="334">
        <v>0</v>
      </c>
      <c r="N361" s="385">
        <v>0</v>
      </c>
      <c r="O361" s="1482"/>
      <c r="P361" s="1482"/>
      <c r="Q361" s="1636"/>
    </row>
    <row r="362" spans="1:19" s="382" customFormat="1" ht="45">
      <c r="A362" s="1568"/>
      <c r="B362" s="1701"/>
      <c r="C362" s="1567"/>
      <c r="D362" s="1577"/>
      <c r="E362" s="1577"/>
      <c r="F362" s="1600"/>
      <c r="G362" s="619" t="s">
        <v>1696</v>
      </c>
      <c r="H362" s="326" t="s">
        <v>280</v>
      </c>
      <c r="I362" s="1043">
        <v>1</v>
      </c>
      <c r="J362" s="1043">
        <f>'preturi unitare'!E31+'preturi unitare'!E6</f>
        <v>48000</v>
      </c>
      <c r="K362" s="1043">
        <f t="shared" si="36"/>
        <v>48000</v>
      </c>
      <c r="L362" s="334">
        <f t="shared" si="37"/>
        <v>48000</v>
      </c>
      <c r="M362" s="334">
        <v>0</v>
      </c>
      <c r="N362" s="385">
        <v>0</v>
      </c>
      <c r="O362" s="1482"/>
      <c r="P362" s="1482"/>
      <c r="Q362" s="1637"/>
    </row>
    <row r="363" spans="1:19" s="382" customFormat="1">
      <c r="A363" s="820"/>
      <c r="B363" s="803"/>
      <c r="C363" s="718"/>
      <c r="D363" s="728"/>
      <c r="E363" s="728"/>
      <c r="F363" s="721"/>
      <c r="G363" s="619"/>
      <c r="H363" s="326"/>
      <c r="I363" s="714"/>
      <c r="J363" s="714"/>
      <c r="K363" s="714"/>
      <c r="L363" s="334"/>
      <c r="M363" s="334"/>
      <c r="N363" s="385"/>
      <c r="O363" s="714"/>
      <c r="P363" s="714"/>
      <c r="Q363" s="587"/>
    </row>
    <row r="364" spans="1:19" s="382" customFormat="1">
      <c r="A364" s="1469" t="s">
        <v>466</v>
      </c>
      <c r="B364" s="1470"/>
      <c r="C364" s="1470"/>
      <c r="D364" s="1470"/>
      <c r="E364" s="1470"/>
      <c r="F364" s="1470"/>
      <c r="G364" s="1471"/>
      <c r="H364" s="793"/>
      <c r="I364" s="714"/>
      <c r="J364" s="714"/>
      <c r="K364" s="364">
        <f>SUM(K350:K362)</f>
        <v>1918000</v>
      </c>
      <c r="L364" s="365">
        <f>SUM(L350:L362)</f>
        <v>1918000</v>
      </c>
      <c r="M364" s="365">
        <f>SUM(M350:M362)</f>
        <v>0</v>
      </c>
      <c r="N364" s="364">
        <f>SUM(N350:N360)</f>
        <v>0</v>
      </c>
      <c r="O364" s="714"/>
      <c r="P364" s="714"/>
      <c r="Q364" s="587"/>
      <c r="S364" s="629"/>
    </row>
    <row r="365" spans="1:19" s="382" customFormat="1" ht="15.75" thickBot="1">
      <c r="A365" s="833"/>
      <c r="B365" s="397"/>
      <c r="C365" s="397"/>
      <c r="D365" s="397"/>
      <c r="E365" s="397"/>
      <c r="F365" s="711"/>
      <c r="G365" s="417"/>
      <c r="H365" s="732"/>
      <c r="I365" s="732"/>
      <c r="J365" s="732"/>
      <c r="K365" s="732"/>
      <c r="L365" s="426"/>
      <c r="M365" s="426"/>
      <c r="N365" s="418"/>
      <c r="O365" s="732"/>
      <c r="P365" s="732"/>
      <c r="Q365" s="643"/>
    </row>
    <row r="366" spans="1:19" s="382" customFormat="1" ht="60" customHeight="1">
      <c r="A366" s="1608" t="s">
        <v>632</v>
      </c>
      <c r="B366" s="1544" t="s">
        <v>617</v>
      </c>
      <c r="C366" s="1538" t="s">
        <v>610</v>
      </c>
      <c r="D366" s="1538" t="s">
        <v>611</v>
      </c>
      <c r="E366" s="1538" t="s">
        <v>1453</v>
      </c>
      <c r="F366" s="1472" t="s">
        <v>159</v>
      </c>
      <c r="G366" s="1509" t="s">
        <v>110</v>
      </c>
      <c r="H366" s="1477" t="s">
        <v>316</v>
      </c>
      <c r="I366" s="1472" t="s">
        <v>315</v>
      </c>
      <c r="J366" s="1472" t="s">
        <v>317</v>
      </c>
      <c r="K366" s="1472" t="s">
        <v>318</v>
      </c>
      <c r="L366" s="569" t="s">
        <v>1443</v>
      </c>
      <c r="M366" s="569" t="s">
        <v>1444</v>
      </c>
      <c r="N366" s="709" t="s">
        <v>1445</v>
      </c>
      <c r="O366" s="1477" t="s">
        <v>1673</v>
      </c>
      <c r="P366" s="1477" t="s">
        <v>1307</v>
      </c>
      <c r="Q366" s="1495" t="s">
        <v>1454</v>
      </c>
    </row>
    <row r="367" spans="1:19" s="382" customFormat="1" ht="15.75" thickBot="1">
      <c r="A367" s="1609"/>
      <c r="B367" s="1545"/>
      <c r="C367" s="1539"/>
      <c r="D367" s="1539"/>
      <c r="E367" s="1539"/>
      <c r="F367" s="1473"/>
      <c r="G367" s="1510"/>
      <c r="H367" s="1478"/>
      <c r="I367" s="1473"/>
      <c r="J367" s="1473"/>
      <c r="K367" s="1473"/>
      <c r="L367" s="570" t="s">
        <v>805</v>
      </c>
      <c r="M367" s="570" t="s">
        <v>805</v>
      </c>
      <c r="N367" s="710" t="s">
        <v>1149</v>
      </c>
      <c r="O367" s="1478"/>
      <c r="P367" s="1478"/>
      <c r="Q367" s="1496"/>
    </row>
    <row r="368" spans="1:19" s="382" customFormat="1" ht="105" customHeight="1">
      <c r="A368" s="1675" t="s">
        <v>1464</v>
      </c>
      <c r="B368" s="1613" t="s">
        <v>612</v>
      </c>
      <c r="C368" s="1032" t="s">
        <v>1465</v>
      </c>
      <c r="D368" s="1082">
        <v>4003</v>
      </c>
      <c r="E368" s="1082">
        <f>1.1*D368</f>
        <v>4403.3</v>
      </c>
      <c r="F368" s="743" t="s">
        <v>325</v>
      </c>
      <c r="G368" s="412" t="s">
        <v>496</v>
      </c>
      <c r="H368" s="414" t="s">
        <v>160</v>
      </c>
      <c r="I368" s="713">
        <v>8000</v>
      </c>
      <c r="J368" s="713">
        <f>'preturi unitare'!H41</f>
        <v>165</v>
      </c>
      <c r="K368" s="713">
        <f t="shared" ref="K368:K372" si="38">I368*J368</f>
        <v>1320000</v>
      </c>
      <c r="L368" s="411">
        <f>K368</f>
        <v>1320000</v>
      </c>
      <c r="M368" s="411">
        <v>0</v>
      </c>
      <c r="N368" s="429">
        <v>0</v>
      </c>
      <c r="O368" s="1053">
        <f>L368</f>
        <v>1320000</v>
      </c>
      <c r="P368" s="1053">
        <f>O368/E368</f>
        <v>299.77516862353235</v>
      </c>
      <c r="Q368" s="1083" t="s">
        <v>1699</v>
      </c>
    </row>
    <row r="369" spans="1:17" s="382" customFormat="1" ht="30">
      <c r="A369" s="1676"/>
      <c r="B369" s="1614"/>
      <c r="C369" s="1625" t="s">
        <v>1466</v>
      </c>
      <c r="D369" s="1629">
        <v>401</v>
      </c>
      <c r="E369" s="1629">
        <f>D369</f>
        <v>401</v>
      </c>
      <c r="F369" s="1223" t="s">
        <v>323</v>
      </c>
      <c r="G369" s="362" t="s">
        <v>2028</v>
      </c>
      <c r="H369" s="368" t="s">
        <v>280</v>
      </c>
      <c r="I369" s="714">
        <v>1</v>
      </c>
      <c r="J369" s="714">
        <f>'preturi unitare'!O25</f>
        <v>92000</v>
      </c>
      <c r="K369" s="714">
        <f t="shared" si="38"/>
        <v>92000</v>
      </c>
      <c r="L369" s="334">
        <f t="shared" ref="L369:L374" si="39">K369</f>
        <v>92000</v>
      </c>
      <c r="M369" s="334">
        <v>0</v>
      </c>
      <c r="N369" s="388">
        <v>0</v>
      </c>
      <c r="O369" s="1580">
        <f>SUM(L369:L375)</f>
        <v>1876668</v>
      </c>
      <c r="P369" s="1580">
        <f>O369/E369</f>
        <v>4679.9700748129671</v>
      </c>
      <c r="Q369" s="1581" t="s">
        <v>1700</v>
      </c>
    </row>
    <row r="370" spans="1:17" s="382" customFormat="1" ht="30">
      <c r="A370" s="1676"/>
      <c r="B370" s="1614"/>
      <c r="C370" s="1626"/>
      <c r="D370" s="1627"/>
      <c r="E370" s="1627"/>
      <c r="F370" s="1035" t="s">
        <v>324</v>
      </c>
      <c r="G370" s="362" t="s">
        <v>2029</v>
      </c>
      <c r="H370" s="368" t="s">
        <v>280</v>
      </c>
      <c r="I370" s="714">
        <v>3</v>
      </c>
      <c r="J370" s="714">
        <f>'preturi unitare'!B32</f>
        <v>67000</v>
      </c>
      <c r="K370" s="714">
        <f t="shared" si="38"/>
        <v>201000</v>
      </c>
      <c r="L370" s="334">
        <f t="shared" si="39"/>
        <v>201000</v>
      </c>
      <c r="M370" s="334">
        <v>0</v>
      </c>
      <c r="N370" s="388">
        <v>0</v>
      </c>
      <c r="O370" s="1464"/>
      <c r="P370" s="1464"/>
      <c r="Q370" s="1636"/>
    </row>
    <row r="371" spans="1:17" s="382" customFormat="1" ht="30">
      <c r="A371" s="1676"/>
      <c r="B371" s="1614"/>
      <c r="C371" s="1626"/>
      <c r="D371" s="1627"/>
      <c r="E371" s="1627"/>
      <c r="F371" s="1600" t="s">
        <v>325</v>
      </c>
      <c r="G371" s="362" t="s">
        <v>1701</v>
      </c>
      <c r="H371" s="368" t="s">
        <v>160</v>
      </c>
      <c r="I371" s="714">
        <v>924</v>
      </c>
      <c r="J371" s="714">
        <f>'preturi unitare'!J41</f>
        <v>182</v>
      </c>
      <c r="K371" s="714">
        <f t="shared" si="38"/>
        <v>168168</v>
      </c>
      <c r="L371" s="334">
        <f t="shared" si="39"/>
        <v>168168</v>
      </c>
      <c r="M371" s="334">
        <v>0</v>
      </c>
      <c r="N371" s="388">
        <v>0</v>
      </c>
      <c r="O371" s="1464"/>
      <c r="P371" s="1464"/>
      <c r="Q371" s="1636"/>
    </row>
    <row r="372" spans="1:17" s="382" customFormat="1" ht="30">
      <c r="A372" s="1676"/>
      <c r="B372" s="1614"/>
      <c r="C372" s="1626"/>
      <c r="D372" s="1627"/>
      <c r="E372" s="1627"/>
      <c r="F372" s="1600"/>
      <c r="G372" s="362" t="s">
        <v>2030</v>
      </c>
      <c r="H372" s="368" t="s">
        <v>160</v>
      </c>
      <c r="I372" s="714">
        <v>5000</v>
      </c>
      <c r="J372" s="714">
        <f>J368</f>
        <v>165</v>
      </c>
      <c r="K372" s="714">
        <f t="shared" si="38"/>
        <v>825000</v>
      </c>
      <c r="L372" s="334">
        <f t="shared" si="39"/>
        <v>825000</v>
      </c>
      <c r="M372" s="334">
        <v>0</v>
      </c>
      <c r="N372" s="388">
        <v>0</v>
      </c>
      <c r="O372" s="1464"/>
      <c r="P372" s="1464"/>
      <c r="Q372" s="1637"/>
    </row>
    <row r="373" spans="1:17" s="382" customFormat="1" ht="30">
      <c r="A373" s="1676"/>
      <c r="B373" s="1614"/>
      <c r="C373" s="1626"/>
      <c r="D373" s="1627"/>
      <c r="E373" s="1627"/>
      <c r="F373" s="1687" t="s">
        <v>2031</v>
      </c>
      <c r="G373" s="362" t="s">
        <v>2032</v>
      </c>
      <c r="H373" s="807" t="s">
        <v>280</v>
      </c>
      <c r="I373" s="1218">
        <v>20</v>
      </c>
      <c r="J373" s="1218">
        <v>2500</v>
      </c>
      <c r="K373" s="1218">
        <f>I373*J373</f>
        <v>50000</v>
      </c>
      <c r="L373" s="334">
        <f t="shared" si="39"/>
        <v>50000</v>
      </c>
      <c r="M373" s="334">
        <v>0</v>
      </c>
      <c r="N373" s="388">
        <v>0</v>
      </c>
      <c r="O373" s="1464"/>
      <c r="P373" s="1464"/>
      <c r="Q373" s="1226"/>
    </row>
    <row r="374" spans="1:17" s="382" customFormat="1" ht="30">
      <c r="A374" s="1676"/>
      <c r="B374" s="1614"/>
      <c r="C374" s="1626"/>
      <c r="D374" s="1627"/>
      <c r="E374" s="1627"/>
      <c r="F374" s="1468"/>
      <c r="G374" s="362" t="s">
        <v>2035</v>
      </c>
      <c r="H374" s="807" t="s">
        <v>280</v>
      </c>
      <c r="I374" s="1232">
        <v>7</v>
      </c>
      <c r="J374" s="1232">
        <v>6500</v>
      </c>
      <c r="K374" s="1232">
        <f>I374*J374</f>
        <v>45500</v>
      </c>
      <c r="L374" s="334">
        <f t="shared" si="39"/>
        <v>45500</v>
      </c>
      <c r="M374" s="334">
        <v>0</v>
      </c>
      <c r="N374" s="388">
        <v>0</v>
      </c>
      <c r="O374" s="1464"/>
      <c r="P374" s="1464"/>
      <c r="Q374" s="1234"/>
    </row>
    <row r="375" spans="1:17" s="382" customFormat="1" ht="30">
      <c r="A375" s="1635"/>
      <c r="B375" s="1612"/>
      <c r="C375" s="1599"/>
      <c r="D375" s="1598"/>
      <c r="E375" s="1598"/>
      <c r="F375" s="1233" t="s">
        <v>325</v>
      </c>
      <c r="G375" s="362" t="s">
        <v>2034</v>
      </c>
      <c r="H375" s="807" t="s">
        <v>160</v>
      </c>
      <c r="I375" s="1232">
        <v>3000</v>
      </c>
      <c r="J375" s="1232">
        <f>'preturi unitare'!H41</f>
        <v>165</v>
      </c>
      <c r="K375" s="1232">
        <f>I375*J375</f>
        <v>495000</v>
      </c>
      <c r="L375" s="334">
        <f>K375</f>
        <v>495000</v>
      </c>
      <c r="M375" s="334">
        <v>0</v>
      </c>
      <c r="N375" s="388">
        <v>0</v>
      </c>
      <c r="O375" s="1465"/>
      <c r="P375" s="1465"/>
      <c r="Q375" s="1234"/>
    </row>
    <row r="376" spans="1:17" s="382" customFormat="1">
      <c r="A376" s="1224"/>
      <c r="B376" s="1225"/>
      <c r="C376" s="1221"/>
      <c r="D376" s="1219"/>
      <c r="E376" s="1220"/>
      <c r="F376" s="1223"/>
      <c r="G376" s="362"/>
      <c r="H376" s="807"/>
      <c r="I376" s="1218"/>
      <c r="J376" s="1218"/>
      <c r="K376" s="1218"/>
      <c r="L376" s="334"/>
      <c r="M376" s="334"/>
      <c r="N376" s="388"/>
      <c r="O376" s="1218"/>
      <c r="P376" s="1218"/>
      <c r="Q376" s="1226"/>
    </row>
    <row r="377" spans="1:17" s="382" customFormat="1">
      <c r="A377" s="1532" t="s">
        <v>467</v>
      </c>
      <c r="B377" s="1533"/>
      <c r="C377" s="1533"/>
      <c r="D377" s="1533"/>
      <c r="E377" s="1533"/>
      <c r="F377" s="1533"/>
      <c r="G377" s="1534"/>
      <c r="H377" s="364"/>
      <c r="I377" s="364"/>
      <c r="J377" s="364"/>
      <c r="K377" s="364">
        <f>SUM(K368:K375)</f>
        <v>3196668</v>
      </c>
      <c r="L377" s="365">
        <f>SUM(L368:L375)</f>
        <v>3196668</v>
      </c>
      <c r="M377" s="365">
        <f>SUM(M368:M375)</f>
        <v>0</v>
      </c>
      <c r="N377" s="364">
        <f>SUM(N368:N375)</f>
        <v>0</v>
      </c>
      <c r="O377" s="714"/>
      <c r="P377" s="714"/>
      <c r="Q377" s="587"/>
    </row>
    <row r="378" spans="1:17" s="382" customFormat="1">
      <c r="A378" s="820"/>
      <c r="B378" s="742"/>
      <c r="C378" s="742"/>
      <c r="D378" s="742"/>
      <c r="E378" s="742"/>
      <c r="F378" s="721"/>
      <c r="G378" s="328"/>
      <c r="H378" s="714"/>
      <c r="I378" s="714"/>
      <c r="J378" s="714"/>
      <c r="K378" s="714"/>
      <c r="L378" s="334"/>
      <c r="M378" s="334"/>
      <c r="N378" s="714"/>
      <c r="O378" s="714"/>
      <c r="P378" s="714"/>
      <c r="Q378" s="587"/>
    </row>
    <row r="379" spans="1:17" s="382" customFormat="1" ht="15.75" customHeight="1" thickBot="1">
      <c r="A379" s="1474" t="s">
        <v>468</v>
      </c>
      <c r="B379" s="1475"/>
      <c r="C379" s="1475"/>
      <c r="D379" s="1475"/>
      <c r="E379" s="1475"/>
      <c r="F379" s="1475"/>
      <c r="G379" s="1476"/>
      <c r="H379" s="581"/>
      <c r="I379" s="581"/>
      <c r="J379" s="581"/>
      <c r="K379" s="582">
        <f>K364+K377</f>
        <v>5114668</v>
      </c>
      <c r="L379" s="583">
        <f>L364+L377</f>
        <v>5114668</v>
      </c>
      <c r="M379" s="583">
        <f>M364+M377</f>
        <v>0</v>
      </c>
      <c r="N379" s="582">
        <f>N364+N377</f>
        <v>0</v>
      </c>
      <c r="O379" s="581"/>
      <c r="P379" s="581"/>
      <c r="Q379" s="816"/>
    </row>
    <row r="380" spans="1:17" s="382" customFormat="1" ht="15.75" thickBot="1">
      <c r="A380" s="586"/>
      <c r="B380" s="595"/>
      <c r="C380" s="595"/>
      <c r="D380" s="595"/>
      <c r="E380" s="595"/>
      <c r="F380" s="595"/>
      <c r="G380" s="595"/>
      <c r="H380" s="716"/>
      <c r="I380" s="716"/>
      <c r="J380" s="716"/>
      <c r="K380" s="626"/>
      <c r="L380" s="592"/>
      <c r="M380" s="592"/>
      <c r="N380" s="626"/>
      <c r="O380" s="716"/>
      <c r="P380" s="716"/>
      <c r="Q380" s="586"/>
    </row>
    <row r="381" spans="1:17" s="382" customFormat="1" ht="15.75" thickBot="1">
      <c r="A381" s="859"/>
      <c r="B381" s="639"/>
      <c r="C381" s="639"/>
      <c r="D381" s="639"/>
      <c r="E381" s="639"/>
      <c r="F381" s="846"/>
      <c r="G381" s="577" t="s">
        <v>1889</v>
      </c>
      <c r="H381" s="847"/>
      <c r="I381" s="840"/>
      <c r="J381" s="853"/>
      <c r="K381" s="639"/>
      <c r="L381" s="640"/>
      <c r="M381" s="640"/>
      <c r="N381" s="639"/>
      <c r="O381" s="712"/>
      <c r="P381" s="712"/>
      <c r="Q381" s="642"/>
    </row>
    <row r="382" spans="1:17" s="382" customFormat="1" ht="15.75" thickBot="1">
      <c r="A382" s="833"/>
      <c r="B382" s="355"/>
      <c r="C382" s="355"/>
      <c r="D382" s="355"/>
      <c r="E382" s="355"/>
      <c r="F382" s="356"/>
      <c r="G382" s="576"/>
      <c r="H382" s="358"/>
      <c r="I382" s="358"/>
      <c r="J382" s="358"/>
      <c r="K382" s="358"/>
      <c r="L382" s="359"/>
      <c r="M382" s="359"/>
      <c r="N382" s="358"/>
      <c r="O382" s="732"/>
      <c r="P382" s="732"/>
      <c r="Q382" s="643"/>
    </row>
    <row r="383" spans="1:17" s="382" customFormat="1" ht="60" customHeight="1">
      <c r="A383" s="1562" t="s">
        <v>632</v>
      </c>
      <c r="B383" s="1538" t="s">
        <v>676</v>
      </c>
      <c r="C383" s="1538" t="s">
        <v>610</v>
      </c>
      <c r="D383" s="1538" t="s">
        <v>611</v>
      </c>
      <c r="E383" s="1538" t="s">
        <v>1453</v>
      </c>
      <c r="F383" s="1472" t="s">
        <v>159</v>
      </c>
      <c r="G383" s="1509" t="s">
        <v>110</v>
      </c>
      <c r="H383" s="1477" t="s">
        <v>316</v>
      </c>
      <c r="I383" s="1472" t="s">
        <v>315</v>
      </c>
      <c r="J383" s="1472" t="s">
        <v>317</v>
      </c>
      <c r="K383" s="1472" t="s">
        <v>318</v>
      </c>
      <c r="L383" s="569" t="s">
        <v>1443</v>
      </c>
      <c r="M383" s="569" t="s">
        <v>1444</v>
      </c>
      <c r="N383" s="709" t="s">
        <v>1445</v>
      </c>
      <c r="O383" s="1477" t="s">
        <v>1673</v>
      </c>
      <c r="P383" s="1477" t="s">
        <v>1307</v>
      </c>
      <c r="Q383" s="1495" t="s">
        <v>1454</v>
      </c>
    </row>
    <row r="384" spans="1:17" s="382" customFormat="1" ht="15.75" thickBot="1">
      <c r="A384" s="1563"/>
      <c r="B384" s="1539"/>
      <c r="C384" s="1539"/>
      <c r="D384" s="1539"/>
      <c r="E384" s="1539"/>
      <c r="F384" s="1473"/>
      <c r="G384" s="1510"/>
      <c r="H384" s="1478"/>
      <c r="I384" s="1473"/>
      <c r="J384" s="1473"/>
      <c r="K384" s="1473"/>
      <c r="L384" s="570" t="s">
        <v>805</v>
      </c>
      <c r="M384" s="570" t="s">
        <v>805</v>
      </c>
      <c r="N384" s="710" t="s">
        <v>1149</v>
      </c>
      <c r="O384" s="1478"/>
      <c r="P384" s="1478"/>
      <c r="Q384" s="1496"/>
    </row>
    <row r="385" spans="1:19" s="382" customFormat="1" ht="59.25" customHeight="1">
      <c r="A385" s="1736" t="s">
        <v>1467</v>
      </c>
      <c r="B385" s="1612" t="s">
        <v>1463</v>
      </c>
      <c r="C385" s="1183" t="s">
        <v>683</v>
      </c>
      <c r="D385" s="730">
        <v>1596</v>
      </c>
      <c r="E385" s="723" t="s">
        <v>1451</v>
      </c>
      <c r="F385" s="731" t="s">
        <v>322</v>
      </c>
      <c r="G385" s="412" t="s">
        <v>536</v>
      </c>
      <c r="H385" s="414" t="s">
        <v>160</v>
      </c>
      <c r="I385" s="713">
        <v>8200</v>
      </c>
      <c r="J385" s="713">
        <f>'preturi unitare'!H23</f>
        <v>68</v>
      </c>
      <c r="K385" s="713">
        <f t="shared" ref="K385:K392" si="40">I385*J385</f>
        <v>557600</v>
      </c>
      <c r="L385" s="411">
        <f t="shared" ref="L385:L392" si="41">K385</f>
        <v>557600</v>
      </c>
      <c r="M385" s="411">
        <v>0</v>
      </c>
      <c r="N385" s="414">
        <v>0</v>
      </c>
      <c r="O385" s="713">
        <f>L385</f>
        <v>557600</v>
      </c>
      <c r="P385" s="713">
        <f>O385/D385</f>
        <v>349.37343358395992</v>
      </c>
      <c r="Q385" s="995" t="s">
        <v>1612</v>
      </c>
    </row>
    <row r="386" spans="1:19" s="382" customFormat="1" ht="30">
      <c r="A386" s="1568"/>
      <c r="B386" s="1701"/>
      <c r="C386" s="1488" t="s">
        <v>685</v>
      </c>
      <c r="D386" s="1577">
        <v>2587</v>
      </c>
      <c r="E386" s="1606" t="s">
        <v>1451</v>
      </c>
      <c r="F386" s="721" t="s">
        <v>320</v>
      </c>
      <c r="G386" s="329" t="s">
        <v>915</v>
      </c>
      <c r="H386" s="368" t="s">
        <v>160</v>
      </c>
      <c r="I386" s="714">
        <v>9000</v>
      </c>
      <c r="J386" s="714">
        <f>J385</f>
        <v>68</v>
      </c>
      <c r="K386" s="714">
        <f t="shared" si="40"/>
        <v>612000</v>
      </c>
      <c r="L386" s="334">
        <f t="shared" si="41"/>
        <v>612000</v>
      </c>
      <c r="M386" s="334">
        <v>0</v>
      </c>
      <c r="N386" s="714">
        <v>0</v>
      </c>
      <c r="O386" s="1482">
        <f>SUM(L386:L389)</f>
        <v>1651000</v>
      </c>
      <c r="P386" s="1482">
        <f>O386/D386</f>
        <v>638.19095477386929</v>
      </c>
      <c r="Q386" s="1581" t="s">
        <v>1613</v>
      </c>
    </row>
    <row r="387" spans="1:19" s="382" customFormat="1" ht="30">
      <c r="A387" s="1568"/>
      <c r="B387" s="1701"/>
      <c r="C387" s="1488"/>
      <c r="D387" s="1577"/>
      <c r="E387" s="1627"/>
      <c r="F387" s="721" t="s">
        <v>321</v>
      </c>
      <c r="G387" s="329" t="s">
        <v>916</v>
      </c>
      <c r="H387" s="368" t="s">
        <v>280</v>
      </c>
      <c r="I387" s="714">
        <v>1</v>
      </c>
      <c r="J387" s="714">
        <f>J416</f>
        <v>70000</v>
      </c>
      <c r="K387" s="714">
        <f t="shared" si="40"/>
        <v>70000</v>
      </c>
      <c r="L387" s="334">
        <f t="shared" si="41"/>
        <v>70000</v>
      </c>
      <c r="M387" s="334">
        <v>0</v>
      </c>
      <c r="N387" s="714">
        <v>0</v>
      </c>
      <c r="O387" s="1482"/>
      <c r="P387" s="1482"/>
      <c r="Q387" s="1638"/>
    </row>
    <row r="388" spans="1:19" s="382" customFormat="1" ht="30">
      <c r="A388" s="1568"/>
      <c r="B388" s="1701"/>
      <c r="C388" s="1488"/>
      <c r="D388" s="1577"/>
      <c r="E388" s="1627"/>
      <c r="F388" s="721" t="s">
        <v>322</v>
      </c>
      <c r="G388" s="362" t="s">
        <v>1191</v>
      </c>
      <c r="H388" s="368" t="s">
        <v>160</v>
      </c>
      <c r="I388" s="714">
        <v>13000</v>
      </c>
      <c r="J388" s="714">
        <f>J385</f>
        <v>68</v>
      </c>
      <c r="K388" s="714">
        <f t="shared" si="40"/>
        <v>884000</v>
      </c>
      <c r="L388" s="334">
        <f t="shared" si="41"/>
        <v>884000</v>
      </c>
      <c r="M388" s="334">
        <v>0</v>
      </c>
      <c r="N388" s="714">
        <v>0</v>
      </c>
      <c r="O388" s="1482"/>
      <c r="P388" s="1482"/>
      <c r="Q388" s="1638"/>
    </row>
    <row r="389" spans="1:19" s="382" customFormat="1" ht="47.25">
      <c r="A389" s="1568"/>
      <c r="B389" s="1701"/>
      <c r="C389" s="1488"/>
      <c r="D389" s="1577"/>
      <c r="E389" s="1598"/>
      <c r="F389" s="741" t="s">
        <v>279</v>
      </c>
      <c r="G389" s="329" t="s">
        <v>1874</v>
      </c>
      <c r="H389" s="653" t="s">
        <v>280</v>
      </c>
      <c r="I389" s="714">
        <v>1</v>
      </c>
      <c r="J389" s="714">
        <f>'preturi unitare'!E27+'preturi unitare'!E6</f>
        <v>85000</v>
      </c>
      <c r="K389" s="714">
        <f t="shared" si="40"/>
        <v>85000</v>
      </c>
      <c r="L389" s="334">
        <f t="shared" si="41"/>
        <v>85000</v>
      </c>
      <c r="M389" s="334">
        <v>0</v>
      </c>
      <c r="N389" s="714">
        <v>0</v>
      </c>
      <c r="O389" s="1482"/>
      <c r="P389" s="1482"/>
      <c r="Q389" s="1639"/>
    </row>
    <row r="390" spans="1:19" s="382" customFormat="1" ht="30">
      <c r="A390" s="1568"/>
      <c r="B390" s="1701"/>
      <c r="C390" s="1567" t="s">
        <v>684</v>
      </c>
      <c r="D390" s="1577">
        <v>1693</v>
      </c>
      <c r="E390" s="1606" t="s">
        <v>1451</v>
      </c>
      <c r="F390" s="721" t="s">
        <v>321</v>
      </c>
      <c r="G390" s="329" t="s">
        <v>917</v>
      </c>
      <c r="H390" s="368" t="s">
        <v>280</v>
      </c>
      <c r="I390" s="714">
        <v>1</v>
      </c>
      <c r="J390" s="714">
        <f>J387</f>
        <v>70000</v>
      </c>
      <c r="K390" s="714">
        <f t="shared" si="40"/>
        <v>70000</v>
      </c>
      <c r="L390" s="334">
        <f t="shared" si="41"/>
        <v>70000</v>
      </c>
      <c r="M390" s="334">
        <v>0</v>
      </c>
      <c r="N390" s="714">
        <v>0</v>
      </c>
      <c r="O390" s="1482">
        <f>SUM(L390:L392)</f>
        <v>621000</v>
      </c>
      <c r="P390" s="1482">
        <f>O390/D390</f>
        <v>366.80448907265207</v>
      </c>
      <c r="Q390" s="1581" t="s">
        <v>1613</v>
      </c>
    </row>
    <row r="391" spans="1:19" s="382" customFormat="1" ht="30">
      <c r="A391" s="1568"/>
      <c r="B391" s="1701"/>
      <c r="C391" s="1567"/>
      <c r="D391" s="1577"/>
      <c r="E391" s="1627"/>
      <c r="F391" s="721" t="s">
        <v>322</v>
      </c>
      <c r="G391" s="362" t="s">
        <v>918</v>
      </c>
      <c r="H391" s="368" t="s">
        <v>160</v>
      </c>
      <c r="I391" s="714">
        <v>7000</v>
      </c>
      <c r="J391" s="714">
        <f>J388</f>
        <v>68</v>
      </c>
      <c r="K391" s="714">
        <f t="shared" si="40"/>
        <v>476000</v>
      </c>
      <c r="L391" s="334">
        <f t="shared" si="41"/>
        <v>476000</v>
      </c>
      <c r="M391" s="334">
        <v>0</v>
      </c>
      <c r="N391" s="714">
        <v>0</v>
      </c>
      <c r="O391" s="1482"/>
      <c r="P391" s="1482"/>
      <c r="Q391" s="1636"/>
    </row>
    <row r="392" spans="1:19" s="382" customFormat="1" ht="32.25">
      <c r="A392" s="1568"/>
      <c r="B392" s="1701"/>
      <c r="C392" s="1567"/>
      <c r="D392" s="1577"/>
      <c r="E392" s="1598"/>
      <c r="F392" s="741" t="s">
        <v>279</v>
      </c>
      <c r="G392" s="329" t="s">
        <v>919</v>
      </c>
      <c r="H392" s="653" t="s">
        <v>280</v>
      </c>
      <c r="I392" s="714">
        <v>1</v>
      </c>
      <c r="J392" s="714">
        <f>'preturi unitare'!E25+'preturi unitare'!E6</f>
        <v>75000</v>
      </c>
      <c r="K392" s="714">
        <f t="shared" si="40"/>
        <v>75000</v>
      </c>
      <c r="L392" s="334">
        <f t="shared" si="41"/>
        <v>75000</v>
      </c>
      <c r="M392" s="334">
        <v>0</v>
      </c>
      <c r="N392" s="714">
        <v>0</v>
      </c>
      <c r="O392" s="1482"/>
      <c r="P392" s="1482"/>
      <c r="Q392" s="1637"/>
    </row>
    <row r="393" spans="1:19" s="382" customFormat="1">
      <c r="A393" s="820"/>
      <c r="B393" s="326"/>
      <c r="C393" s="326"/>
      <c r="D393" s="326"/>
      <c r="E393" s="326"/>
      <c r="F393" s="326"/>
      <c r="G393" s="326"/>
      <c r="H393" s="326"/>
      <c r="I393" s="714"/>
      <c r="J393" s="714"/>
      <c r="K393" s="714"/>
      <c r="L393" s="334"/>
      <c r="M393" s="334"/>
      <c r="N393" s="385"/>
      <c r="O393" s="714"/>
      <c r="P393" s="714"/>
      <c r="Q393" s="587"/>
    </row>
    <row r="394" spans="1:19" s="382" customFormat="1">
      <c r="A394" s="1469" t="s">
        <v>474</v>
      </c>
      <c r="B394" s="1470"/>
      <c r="C394" s="1470"/>
      <c r="D394" s="1470"/>
      <c r="E394" s="1470"/>
      <c r="F394" s="1470"/>
      <c r="G394" s="1471"/>
      <c r="H394" s="793"/>
      <c r="I394" s="714"/>
      <c r="J394" s="714"/>
      <c r="K394" s="364">
        <f>SUM(K385:K392)</f>
        <v>2829600</v>
      </c>
      <c r="L394" s="365">
        <f>SUM(L385:L392)</f>
        <v>2829600</v>
      </c>
      <c r="M394" s="365">
        <f>SUM(M385:M392)</f>
        <v>0</v>
      </c>
      <c r="N394" s="364">
        <f>SUM(N385:N392)</f>
        <v>0</v>
      </c>
      <c r="O394" s="714"/>
      <c r="P394" s="714"/>
      <c r="Q394" s="587"/>
      <c r="S394" s="629"/>
    </row>
    <row r="395" spans="1:19" s="382" customFormat="1" ht="15.75" thickBot="1">
      <c r="A395" s="833"/>
      <c r="B395" s="397"/>
      <c r="C395" s="397"/>
      <c r="D395" s="397"/>
      <c r="E395" s="397"/>
      <c r="F395" s="711"/>
      <c r="G395" s="417"/>
      <c r="H395" s="732"/>
      <c r="I395" s="732"/>
      <c r="J395" s="732"/>
      <c r="K395" s="732"/>
      <c r="L395" s="426"/>
      <c r="M395" s="426"/>
      <c r="N395" s="418"/>
      <c r="O395" s="732"/>
      <c r="P395" s="732"/>
      <c r="Q395" s="643"/>
    </row>
    <row r="396" spans="1:19" s="382" customFormat="1" ht="60" customHeight="1">
      <c r="A396" s="1608" t="s">
        <v>632</v>
      </c>
      <c r="B396" s="1544" t="s">
        <v>617</v>
      </c>
      <c r="C396" s="1538" t="s">
        <v>610</v>
      </c>
      <c r="D396" s="1538" t="s">
        <v>611</v>
      </c>
      <c r="E396" s="1538" t="s">
        <v>1453</v>
      </c>
      <c r="F396" s="1472" t="s">
        <v>159</v>
      </c>
      <c r="G396" s="1509" t="s">
        <v>110</v>
      </c>
      <c r="H396" s="1477" t="s">
        <v>316</v>
      </c>
      <c r="I396" s="1472" t="s">
        <v>315</v>
      </c>
      <c r="J396" s="1472" t="s">
        <v>317</v>
      </c>
      <c r="K396" s="1472" t="s">
        <v>318</v>
      </c>
      <c r="L396" s="569" t="s">
        <v>1443</v>
      </c>
      <c r="M396" s="569" t="s">
        <v>1444</v>
      </c>
      <c r="N396" s="709" t="s">
        <v>1445</v>
      </c>
      <c r="O396" s="1477" t="s">
        <v>1673</v>
      </c>
      <c r="P396" s="1477" t="s">
        <v>1307</v>
      </c>
      <c r="Q396" s="1495" t="s">
        <v>1454</v>
      </c>
    </row>
    <row r="397" spans="1:19" s="382" customFormat="1" ht="15.75" thickBot="1">
      <c r="A397" s="1609"/>
      <c r="B397" s="1545"/>
      <c r="C397" s="1539"/>
      <c r="D397" s="1539"/>
      <c r="E397" s="1539"/>
      <c r="F397" s="1473"/>
      <c r="G397" s="1510"/>
      <c r="H397" s="1478"/>
      <c r="I397" s="1473"/>
      <c r="J397" s="1473"/>
      <c r="K397" s="1473"/>
      <c r="L397" s="570" t="s">
        <v>805</v>
      </c>
      <c r="M397" s="570" t="s">
        <v>805</v>
      </c>
      <c r="N397" s="710" t="s">
        <v>1149</v>
      </c>
      <c r="O397" s="1478"/>
      <c r="P397" s="1478"/>
      <c r="Q397" s="1496"/>
    </row>
    <row r="398" spans="1:19" s="382" customFormat="1" ht="45.75" customHeight="1">
      <c r="A398" s="1740" t="s">
        <v>1467</v>
      </c>
      <c r="B398" s="1599" t="s">
        <v>612</v>
      </c>
      <c r="C398" s="996" t="s">
        <v>1467</v>
      </c>
      <c r="D398" s="730">
        <f>D385</f>
        <v>1596</v>
      </c>
      <c r="E398" s="730">
        <f>D398</f>
        <v>1596</v>
      </c>
      <c r="F398" s="1466" t="s">
        <v>324</v>
      </c>
      <c r="G398" s="412" t="s">
        <v>920</v>
      </c>
      <c r="H398" s="414" t="s">
        <v>280</v>
      </c>
      <c r="I398" s="713">
        <v>2</v>
      </c>
      <c r="J398" s="713">
        <f>'preturi unitare'!B32</f>
        <v>67000</v>
      </c>
      <c r="K398" s="713">
        <f>I398*J398</f>
        <v>134000</v>
      </c>
      <c r="L398" s="411">
        <f>K398</f>
        <v>134000</v>
      </c>
      <c r="M398" s="411">
        <v>0</v>
      </c>
      <c r="N398" s="713">
        <v>0</v>
      </c>
      <c r="O398" s="1465">
        <f>SUM(L398:L402)</f>
        <v>5383000</v>
      </c>
      <c r="P398" s="1465">
        <f>O398/(E398+E399+E401)</f>
        <v>877.46752082416413</v>
      </c>
      <c r="Q398" s="1572" t="s">
        <v>1614</v>
      </c>
    </row>
    <row r="399" spans="1:19" s="382" customFormat="1" ht="30">
      <c r="A399" s="1740"/>
      <c r="B399" s="1701"/>
      <c r="C399" s="1567" t="s">
        <v>685</v>
      </c>
      <c r="D399" s="1577">
        <f>D386</f>
        <v>2587</v>
      </c>
      <c r="E399" s="1577">
        <f>1.1*D399</f>
        <v>2845.7000000000003</v>
      </c>
      <c r="F399" s="1468"/>
      <c r="G399" s="362" t="s">
        <v>921</v>
      </c>
      <c r="H399" s="413" t="s">
        <v>280</v>
      </c>
      <c r="I399" s="413">
        <v>2</v>
      </c>
      <c r="J399" s="413">
        <f>J398</f>
        <v>67000</v>
      </c>
      <c r="K399" s="413">
        <f>I399*J399</f>
        <v>134000</v>
      </c>
      <c r="L399" s="334">
        <f t="shared" ref="L399:L401" si="42">K399</f>
        <v>134000</v>
      </c>
      <c r="M399" s="334">
        <v>0</v>
      </c>
      <c r="N399" s="413">
        <v>0</v>
      </c>
      <c r="O399" s="1482"/>
      <c r="P399" s="1482"/>
      <c r="Q399" s="1636"/>
    </row>
    <row r="400" spans="1:19" s="382" customFormat="1" ht="30">
      <c r="A400" s="1740"/>
      <c r="B400" s="1701"/>
      <c r="C400" s="1701"/>
      <c r="D400" s="1577"/>
      <c r="E400" s="1577"/>
      <c r="F400" s="1687" t="s">
        <v>325</v>
      </c>
      <c r="G400" s="362" t="s">
        <v>537</v>
      </c>
      <c r="H400" s="368" t="s">
        <v>160</v>
      </c>
      <c r="I400" s="714">
        <v>11000</v>
      </c>
      <c r="J400" s="714">
        <f>J372</f>
        <v>165</v>
      </c>
      <c r="K400" s="714">
        <f>I400*J400</f>
        <v>1815000</v>
      </c>
      <c r="L400" s="334">
        <f t="shared" si="42"/>
        <v>1815000</v>
      </c>
      <c r="M400" s="334">
        <v>0</v>
      </c>
      <c r="N400" s="714">
        <v>0</v>
      </c>
      <c r="O400" s="1482"/>
      <c r="P400" s="1482"/>
      <c r="Q400" s="1636"/>
    </row>
    <row r="401" spans="1:17" s="382" customFormat="1" ht="30">
      <c r="A401" s="1740"/>
      <c r="B401" s="1701"/>
      <c r="C401" s="1567" t="s">
        <v>684</v>
      </c>
      <c r="D401" s="1577">
        <f>D390</f>
        <v>1693</v>
      </c>
      <c r="E401" s="1577">
        <f>D401</f>
        <v>1693</v>
      </c>
      <c r="F401" s="1467"/>
      <c r="G401" s="362" t="s">
        <v>502</v>
      </c>
      <c r="H401" s="368" t="s">
        <v>160</v>
      </c>
      <c r="I401" s="714">
        <v>13000</v>
      </c>
      <c r="J401" s="714">
        <f>J400</f>
        <v>165</v>
      </c>
      <c r="K401" s="714">
        <f>I401*J401</f>
        <v>2145000</v>
      </c>
      <c r="L401" s="334">
        <f t="shared" si="42"/>
        <v>2145000</v>
      </c>
      <c r="M401" s="334">
        <v>0</v>
      </c>
      <c r="N401" s="714">
        <v>0</v>
      </c>
      <c r="O401" s="1482"/>
      <c r="P401" s="1482"/>
      <c r="Q401" s="1636"/>
    </row>
    <row r="402" spans="1:17" s="382" customFormat="1" ht="30">
      <c r="A402" s="1741"/>
      <c r="B402" s="1701"/>
      <c r="C402" s="1701"/>
      <c r="D402" s="1577"/>
      <c r="E402" s="1577"/>
      <c r="F402" s="1468"/>
      <c r="G402" s="362" t="s">
        <v>503</v>
      </c>
      <c r="H402" s="368" t="s">
        <v>160</v>
      </c>
      <c r="I402" s="714">
        <v>7000</v>
      </c>
      <c r="J402" s="714">
        <f>J401</f>
        <v>165</v>
      </c>
      <c r="K402" s="714">
        <f>I402*J402</f>
        <v>1155000</v>
      </c>
      <c r="L402" s="334">
        <f>K402</f>
        <v>1155000</v>
      </c>
      <c r="M402" s="334">
        <v>0</v>
      </c>
      <c r="N402" s="714">
        <v>0</v>
      </c>
      <c r="O402" s="1482"/>
      <c r="P402" s="1482"/>
      <c r="Q402" s="1637"/>
    </row>
    <row r="403" spans="1:17" s="382" customFormat="1">
      <c r="A403" s="820"/>
      <c r="B403" s="722"/>
      <c r="C403" s="722"/>
      <c r="D403" s="722"/>
      <c r="E403" s="722"/>
      <c r="F403" s="721"/>
      <c r="G403" s="384"/>
      <c r="H403" s="368"/>
      <c r="I403" s="368"/>
      <c r="J403" s="368"/>
      <c r="K403" s="368"/>
      <c r="L403" s="368"/>
      <c r="M403" s="368"/>
      <c r="N403" s="368"/>
      <c r="O403" s="714"/>
      <c r="P403" s="714"/>
      <c r="Q403" s="587"/>
    </row>
    <row r="404" spans="1:17" s="382" customFormat="1">
      <c r="A404" s="1532" t="s">
        <v>475</v>
      </c>
      <c r="B404" s="1533"/>
      <c r="C404" s="1533"/>
      <c r="D404" s="1533"/>
      <c r="E404" s="1533"/>
      <c r="F404" s="1533"/>
      <c r="G404" s="1534"/>
      <c r="H404" s="364"/>
      <c r="I404" s="364"/>
      <c r="J404" s="364"/>
      <c r="K404" s="364">
        <f>SUM(K398:K402)</f>
        <v>5383000</v>
      </c>
      <c r="L404" s="365">
        <f>SUM(L398:L402)</f>
        <v>5383000</v>
      </c>
      <c r="M404" s="365">
        <f>SUM(M398:M402)</f>
        <v>0</v>
      </c>
      <c r="N404" s="364">
        <f>SUM(N398:N402)</f>
        <v>0</v>
      </c>
      <c r="O404" s="714"/>
      <c r="P404" s="714"/>
      <c r="Q404" s="587"/>
    </row>
    <row r="405" spans="1:17" s="382" customFormat="1">
      <c r="A405" s="820"/>
      <c r="B405" s="742"/>
      <c r="C405" s="742"/>
      <c r="D405" s="742"/>
      <c r="E405" s="742"/>
      <c r="F405" s="721"/>
      <c r="G405" s="328"/>
      <c r="H405" s="714"/>
      <c r="I405" s="714"/>
      <c r="J405" s="714"/>
      <c r="K405" s="714"/>
      <c r="L405" s="334"/>
      <c r="M405" s="334"/>
      <c r="N405" s="714"/>
      <c r="O405" s="714"/>
      <c r="P405" s="714"/>
      <c r="Q405" s="587"/>
    </row>
    <row r="406" spans="1:17" s="382" customFormat="1" ht="15" customHeight="1" thickBot="1">
      <c r="A406" s="1474" t="s">
        <v>476</v>
      </c>
      <c r="B406" s="1475"/>
      <c r="C406" s="1475"/>
      <c r="D406" s="1475"/>
      <c r="E406" s="1475"/>
      <c r="F406" s="1475"/>
      <c r="G406" s="1476"/>
      <c r="H406" s="581"/>
      <c r="I406" s="581"/>
      <c r="J406" s="581"/>
      <c r="K406" s="582">
        <f>K394+K404</f>
        <v>8212600</v>
      </c>
      <c r="L406" s="583">
        <f>L394+L404</f>
        <v>8212600</v>
      </c>
      <c r="M406" s="583">
        <f>M394+M404</f>
        <v>0</v>
      </c>
      <c r="N406" s="582">
        <f>N394+N404</f>
        <v>0</v>
      </c>
      <c r="O406" s="581"/>
      <c r="P406" s="581"/>
      <c r="Q406" s="816"/>
    </row>
    <row r="407" spans="1:17" s="382" customFormat="1" ht="15.75" thickBot="1">
      <c r="A407" s="586"/>
      <c r="B407" s="595"/>
      <c r="C407" s="595"/>
      <c r="D407" s="595"/>
      <c r="E407" s="595"/>
      <c r="F407" s="595"/>
      <c r="G407" s="595"/>
      <c r="H407" s="716"/>
      <c r="I407" s="716"/>
      <c r="J407" s="716"/>
      <c r="K407" s="626"/>
      <c r="L407" s="592"/>
      <c r="M407" s="592"/>
      <c r="N407" s="626"/>
      <c r="O407" s="716"/>
      <c r="P407" s="716"/>
      <c r="Q407" s="586"/>
    </row>
    <row r="408" spans="1:17" s="382" customFormat="1" ht="15.75" thickBot="1">
      <c r="A408" s="859"/>
      <c r="B408" s="639"/>
      <c r="C408" s="639"/>
      <c r="D408" s="639"/>
      <c r="E408" s="639"/>
      <c r="F408" s="846"/>
      <c r="G408" s="577" t="s">
        <v>1890</v>
      </c>
      <c r="H408" s="847"/>
      <c r="I408" s="840"/>
      <c r="J408" s="853"/>
      <c r="K408" s="639"/>
      <c r="L408" s="640"/>
      <c r="M408" s="640"/>
      <c r="N408" s="639"/>
      <c r="O408" s="712"/>
      <c r="P408" s="712"/>
      <c r="Q408" s="642"/>
    </row>
    <row r="409" spans="1:17" s="382" customFormat="1" ht="15.75" thickBot="1">
      <c r="A409" s="833"/>
      <c r="B409" s="355"/>
      <c r="C409" s="355"/>
      <c r="D409" s="355"/>
      <c r="E409" s="355"/>
      <c r="F409" s="356"/>
      <c r="G409" s="576"/>
      <c r="H409" s="358"/>
      <c r="I409" s="358"/>
      <c r="J409" s="358"/>
      <c r="K409" s="358"/>
      <c r="L409" s="359"/>
      <c r="M409" s="359"/>
      <c r="N409" s="358"/>
      <c r="O409" s="732"/>
      <c r="P409" s="732"/>
      <c r="Q409" s="643"/>
    </row>
    <row r="410" spans="1:17" s="382" customFormat="1" ht="60" customHeight="1">
      <c r="A410" s="1562" t="s">
        <v>632</v>
      </c>
      <c r="B410" s="1538" t="s">
        <v>676</v>
      </c>
      <c r="C410" s="1538" t="s">
        <v>610</v>
      </c>
      <c r="D410" s="1538" t="s">
        <v>611</v>
      </c>
      <c r="E410" s="1538" t="s">
        <v>1453</v>
      </c>
      <c r="F410" s="1472" t="s">
        <v>159</v>
      </c>
      <c r="G410" s="1509" t="s">
        <v>110</v>
      </c>
      <c r="H410" s="1477" t="s">
        <v>316</v>
      </c>
      <c r="I410" s="1472" t="s">
        <v>315</v>
      </c>
      <c r="J410" s="1472" t="s">
        <v>317</v>
      </c>
      <c r="K410" s="1472" t="s">
        <v>318</v>
      </c>
      <c r="L410" s="569" t="s">
        <v>1443</v>
      </c>
      <c r="M410" s="569" t="s">
        <v>1444</v>
      </c>
      <c r="N410" s="709" t="s">
        <v>1445</v>
      </c>
      <c r="O410" s="1477" t="s">
        <v>1673</v>
      </c>
      <c r="P410" s="1477" t="s">
        <v>1307</v>
      </c>
      <c r="Q410" s="1495" t="s">
        <v>1454</v>
      </c>
    </row>
    <row r="411" spans="1:17" s="382" customFormat="1" ht="15.75" thickBot="1">
      <c r="A411" s="1563"/>
      <c r="B411" s="1539"/>
      <c r="C411" s="1539"/>
      <c r="D411" s="1539"/>
      <c r="E411" s="1539"/>
      <c r="F411" s="1473"/>
      <c r="G411" s="1510"/>
      <c r="H411" s="1478"/>
      <c r="I411" s="1473"/>
      <c r="J411" s="1473"/>
      <c r="K411" s="1473"/>
      <c r="L411" s="570" t="s">
        <v>805</v>
      </c>
      <c r="M411" s="570" t="s">
        <v>805</v>
      </c>
      <c r="N411" s="710" t="s">
        <v>1149</v>
      </c>
      <c r="O411" s="1478"/>
      <c r="P411" s="1478"/>
      <c r="Q411" s="1496"/>
    </row>
    <row r="412" spans="1:17" s="382" customFormat="1" ht="75">
      <c r="A412" s="1635" t="s">
        <v>1468</v>
      </c>
      <c r="B412" s="1612" t="s">
        <v>1463</v>
      </c>
      <c r="C412" s="745" t="s">
        <v>677</v>
      </c>
      <c r="D412" s="730">
        <v>2078</v>
      </c>
      <c r="E412" s="723" t="s">
        <v>1451</v>
      </c>
      <c r="F412" s="731" t="s">
        <v>322</v>
      </c>
      <c r="G412" s="412" t="s">
        <v>533</v>
      </c>
      <c r="H412" s="414" t="s">
        <v>160</v>
      </c>
      <c r="I412" s="713">
        <v>5000</v>
      </c>
      <c r="J412" s="713">
        <f>'preturi unitare'!H22</f>
        <v>64</v>
      </c>
      <c r="K412" s="713">
        <f t="shared" ref="K412:K418" si="43">I412*J412</f>
        <v>320000</v>
      </c>
      <c r="L412" s="411">
        <f t="shared" ref="L412:L418" si="44">K412</f>
        <v>320000</v>
      </c>
      <c r="M412" s="411">
        <v>0</v>
      </c>
      <c r="N412" s="433">
        <v>0</v>
      </c>
      <c r="O412" s="713">
        <f>L412</f>
        <v>320000</v>
      </c>
      <c r="P412" s="713">
        <f>O412/D412</f>
        <v>153.99422521655438</v>
      </c>
      <c r="Q412" s="995" t="s">
        <v>1615</v>
      </c>
    </row>
    <row r="413" spans="1:17" s="382" customFormat="1" ht="75">
      <c r="A413" s="1568"/>
      <c r="B413" s="1701"/>
      <c r="C413" s="718" t="s">
        <v>678</v>
      </c>
      <c r="D413" s="728">
        <v>1816</v>
      </c>
      <c r="E413" s="733" t="s">
        <v>1451</v>
      </c>
      <c r="F413" s="721" t="s">
        <v>322</v>
      </c>
      <c r="G413" s="329" t="s">
        <v>534</v>
      </c>
      <c r="H413" s="368" t="s">
        <v>160</v>
      </c>
      <c r="I413" s="714">
        <v>4300</v>
      </c>
      <c r="J413" s="714">
        <f>'preturi unitare'!H22</f>
        <v>64</v>
      </c>
      <c r="K413" s="714">
        <f t="shared" si="43"/>
        <v>275200</v>
      </c>
      <c r="L413" s="334">
        <f t="shared" si="44"/>
        <v>275200</v>
      </c>
      <c r="M413" s="334">
        <v>0</v>
      </c>
      <c r="N413" s="376">
        <v>0</v>
      </c>
      <c r="O413" s="714">
        <f>L413</f>
        <v>275200</v>
      </c>
      <c r="P413" s="714">
        <f>O413/D413</f>
        <v>151.54185022026431</v>
      </c>
      <c r="Q413" s="995" t="s">
        <v>1615</v>
      </c>
    </row>
    <row r="414" spans="1:17" s="382" customFormat="1" ht="75">
      <c r="A414" s="1568"/>
      <c r="B414" s="1701"/>
      <c r="C414" s="718" t="s">
        <v>679</v>
      </c>
      <c r="D414" s="728">
        <v>961</v>
      </c>
      <c r="E414" s="733" t="s">
        <v>1451</v>
      </c>
      <c r="F414" s="721" t="s">
        <v>322</v>
      </c>
      <c r="G414" s="329" t="s">
        <v>535</v>
      </c>
      <c r="H414" s="368" t="s">
        <v>160</v>
      </c>
      <c r="I414" s="714">
        <v>3500</v>
      </c>
      <c r="J414" s="714">
        <f>'preturi unitare'!H22</f>
        <v>64</v>
      </c>
      <c r="K414" s="714">
        <f t="shared" si="43"/>
        <v>224000</v>
      </c>
      <c r="L414" s="334">
        <f t="shared" si="44"/>
        <v>224000</v>
      </c>
      <c r="M414" s="334">
        <v>0</v>
      </c>
      <c r="N414" s="376">
        <v>0</v>
      </c>
      <c r="O414" s="714">
        <f>L414</f>
        <v>224000</v>
      </c>
      <c r="P414" s="714">
        <f>O414/D414</f>
        <v>233.09053069719042</v>
      </c>
      <c r="Q414" s="995" t="s">
        <v>1615</v>
      </c>
    </row>
    <row r="415" spans="1:17" s="382" customFormat="1" ht="45">
      <c r="A415" s="1568"/>
      <c r="B415" s="1701"/>
      <c r="C415" s="1488" t="s">
        <v>680</v>
      </c>
      <c r="D415" s="1577">
        <v>395</v>
      </c>
      <c r="E415" s="733" t="s">
        <v>1451</v>
      </c>
      <c r="F415" s="721" t="s">
        <v>320</v>
      </c>
      <c r="G415" s="329" t="s">
        <v>532</v>
      </c>
      <c r="H415" s="368" t="s">
        <v>160</v>
      </c>
      <c r="I415" s="714">
        <v>2600</v>
      </c>
      <c r="J415" s="714">
        <f>J412</f>
        <v>64</v>
      </c>
      <c r="K415" s="714">
        <f t="shared" si="43"/>
        <v>166400</v>
      </c>
      <c r="L415" s="334">
        <f t="shared" si="44"/>
        <v>166400</v>
      </c>
      <c r="M415" s="334">
        <v>0</v>
      </c>
      <c r="N415" s="376">
        <v>0</v>
      </c>
      <c r="O415" s="1482">
        <f>SUM(L415:L418)</f>
        <v>398900</v>
      </c>
      <c r="P415" s="1482">
        <f>O415/D415</f>
        <v>1009.873417721519</v>
      </c>
      <c r="Q415" s="1581" t="s">
        <v>1616</v>
      </c>
    </row>
    <row r="416" spans="1:17" s="382" customFormat="1" ht="45">
      <c r="A416" s="1568"/>
      <c r="B416" s="1701"/>
      <c r="C416" s="1488"/>
      <c r="D416" s="1577"/>
      <c r="E416" s="733" t="s">
        <v>1451</v>
      </c>
      <c r="F416" s="721" t="s">
        <v>321</v>
      </c>
      <c r="G416" s="329" t="s">
        <v>1386</v>
      </c>
      <c r="H416" s="368" t="s">
        <v>280</v>
      </c>
      <c r="I416" s="714">
        <v>1</v>
      </c>
      <c r="J416" s="714">
        <f>'preturi unitare'!H5</f>
        <v>70000</v>
      </c>
      <c r="K416" s="714">
        <f t="shared" si="43"/>
        <v>70000</v>
      </c>
      <c r="L416" s="334">
        <f t="shared" si="44"/>
        <v>70000</v>
      </c>
      <c r="M416" s="334">
        <v>0</v>
      </c>
      <c r="N416" s="376">
        <v>0</v>
      </c>
      <c r="O416" s="1482"/>
      <c r="P416" s="1482"/>
      <c r="Q416" s="1636"/>
    </row>
    <row r="417" spans="1:19" s="382" customFormat="1" ht="30">
      <c r="A417" s="1568"/>
      <c r="B417" s="1701"/>
      <c r="C417" s="1488"/>
      <c r="D417" s="1577"/>
      <c r="E417" s="733" t="s">
        <v>1451</v>
      </c>
      <c r="F417" s="721" t="s">
        <v>322</v>
      </c>
      <c r="G417" s="362" t="s">
        <v>911</v>
      </c>
      <c r="H417" s="653" t="s">
        <v>160</v>
      </c>
      <c r="I417" s="714">
        <v>1500</v>
      </c>
      <c r="J417" s="714">
        <f>J415</f>
        <v>64</v>
      </c>
      <c r="K417" s="714">
        <f t="shared" si="43"/>
        <v>96000</v>
      </c>
      <c r="L417" s="334">
        <f t="shared" si="44"/>
        <v>96000</v>
      </c>
      <c r="M417" s="334">
        <v>0</v>
      </c>
      <c r="N417" s="376">
        <v>0</v>
      </c>
      <c r="O417" s="1482"/>
      <c r="P417" s="1482"/>
      <c r="Q417" s="1636"/>
    </row>
    <row r="418" spans="1:19" s="382" customFormat="1" ht="32.25">
      <c r="A418" s="1568"/>
      <c r="B418" s="1701"/>
      <c r="C418" s="1488"/>
      <c r="D418" s="1577"/>
      <c r="E418" s="733" t="s">
        <v>1451</v>
      </c>
      <c r="F418" s="721" t="s">
        <v>279</v>
      </c>
      <c r="G418" s="329" t="s">
        <v>912</v>
      </c>
      <c r="H418" s="653" t="s">
        <v>280</v>
      </c>
      <c r="I418" s="714">
        <v>1</v>
      </c>
      <c r="J418" s="714">
        <f>'preturi unitare'!E26+'preturi unitare'!E6</f>
        <v>66500</v>
      </c>
      <c r="K418" s="714">
        <f t="shared" si="43"/>
        <v>66500</v>
      </c>
      <c r="L418" s="334">
        <f t="shared" si="44"/>
        <v>66500</v>
      </c>
      <c r="M418" s="334">
        <v>0</v>
      </c>
      <c r="N418" s="376">
        <v>0</v>
      </c>
      <c r="O418" s="1482"/>
      <c r="P418" s="1482"/>
      <c r="Q418" s="1637"/>
    </row>
    <row r="419" spans="1:19" s="382" customFormat="1">
      <c r="A419" s="820"/>
      <c r="B419" s="803"/>
      <c r="C419" s="722"/>
      <c r="D419" s="728"/>
      <c r="E419" s="728"/>
      <c r="F419" s="721"/>
      <c r="G419" s="329"/>
      <c r="H419" s="653"/>
      <c r="I419" s="714"/>
      <c r="J419" s="714"/>
      <c r="K419" s="714"/>
      <c r="L419" s="334"/>
      <c r="M419" s="334"/>
      <c r="N419" s="376"/>
      <c r="O419" s="714"/>
      <c r="P419" s="714"/>
      <c r="Q419" s="587"/>
    </row>
    <row r="420" spans="1:19" s="382" customFormat="1">
      <c r="A420" s="1469" t="s">
        <v>471</v>
      </c>
      <c r="B420" s="1470"/>
      <c r="C420" s="1470"/>
      <c r="D420" s="1470"/>
      <c r="E420" s="1470"/>
      <c r="F420" s="1470"/>
      <c r="G420" s="1471"/>
      <c r="H420" s="793"/>
      <c r="I420" s="714"/>
      <c r="J420" s="714"/>
      <c r="K420" s="364">
        <f>SUM(K412:K418)</f>
        <v>1218100</v>
      </c>
      <c r="L420" s="365">
        <f>SUM(L412:L418)</f>
        <v>1218100</v>
      </c>
      <c r="M420" s="365">
        <f>SUM(M412:M418)</f>
        <v>0</v>
      </c>
      <c r="N420" s="364">
        <f>SUM(N412:N418)</f>
        <v>0</v>
      </c>
      <c r="O420" s="714"/>
      <c r="P420" s="714"/>
      <c r="Q420" s="587"/>
      <c r="S420" s="629"/>
    </row>
    <row r="421" spans="1:19" s="382" customFormat="1" ht="15.75" thickBot="1">
      <c r="A421" s="833"/>
      <c r="B421" s="397"/>
      <c r="C421" s="397"/>
      <c r="D421" s="397"/>
      <c r="E421" s="397"/>
      <c r="F421" s="711"/>
      <c r="G421" s="417"/>
      <c r="H421" s="732"/>
      <c r="I421" s="732"/>
      <c r="J421" s="732"/>
      <c r="K421" s="732"/>
      <c r="L421" s="426"/>
      <c r="M421" s="426"/>
      <c r="N421" s="418"/>
      <c r="O421" s="732"/>
      <c r="P421" s="732"/>
      <c r="Q421" s="643"/>
    </row>
    <row r="422" spans="1:19" s="382" customFormat="1" ht="60" customHeight="1">
      <c r="A422" s="1608" t="s">
        <v>632</v>
      </c>
      <c r="B422" s="1544" t="s">
        <v>617</v>
      </c>
      <c r="C422" s="1538" t="s">
        <v>610</v>
      </c>
      <c r="D422" s="1538" t="s">
        <v>611</v>
      </c>
      <c r="E422" s="1538" t="s">
        <v>1453</v>
      </c>
      <c r="F422" s="1472" t="s">
        <v>159</v>
      </c>
      <c r="G422" s="1509" t="s">
        <v>110</v>
      </c>
      <c r="H422" s="1477" t="s">
        <v>316</v>
      </c>
      <c r="I422" s="1472" t="s">
        <v>315</v>
      </c>
      <c r="J422" s="1472" t="s">
        <v>317</v>
      </c>
      <c r="K422" s="1472" t="s">
        <v>318</v>
      </c>
      <c r="L422" s="569" t="s">
        <v>1443</v>
      </c>
      <c r="M422" s="569" t="s">
        <v>1444</v>
      </c>
      <c r="N422" s="709" t="s">
        <v>1445</v>
      </c>
      <c r="O422" s="1477" t="s">
        <v>1673</v>
      </c>
      <c r="P422" s="1477" t="s">
        <v>1307</v>
      </c>
      <c r="Q422" s="1495" t="s">
        <v>1454</v>
      </c>
    </row>
    <row r="423" spans="1:19" s="382" customFormat="1" ht="15.75" thickBot="1">
      <c r="A423" s="1609"/>
      <c r="B423" s="1545"/>
      <c r="C423" s="1539"/>
      <c r="D423" s="1539"/>
      <c r="E423" s="1539"/>
      <c r="F423" s="1473"/>
      <c r="G423" s="1510"/>
      <c r="H423" s="1478"/>
      <c r="I423" s="1473"/>
      <c r="J423" s="1473"/>
      <c r="K423" s="1473"/>
      <c r="L423" s="570" t="s">
        <v>805</v>
      </c>
      <c r="M423" s="570" t="s">
        <v>805</v>
      </c>
      <c r="N423" s="710" t="s">
        <v>1149</v>
      </c>
      <c r="O423" s="1478"/>
      <c r="P423" s="1478"/>
      <c r="Q423" s="1496"/>
    </row>
    <row r="424" spans="1:19" s="382" customFormat="1" ht="45" customHeight="1">
      <c r="A424" s="1740" t="s">
        <v>1468</v>
      </c>
      <c r="B424" s="1599" t="s">
        <v>612</v>
      </c>
      <c r="C424" s="1204" t="s">
        <v>1469</v>
      </c>
      <c r="D424" s="1202">
        <f>D428</f>
        <v>395</v>
      </c>
      <c r="E424" s="1202">
        <f>D424</f>
        <v>395</v>
      </c>
      <c r="F424" s="731" t="s">
        <v>144</v>
      </c>
      <c r="G424" s="423" t="s">
        <v>913</v>
      </c>
      <c r="H424" s="431" t="s">
        <v>160</v>
      </c>
      <c r="I424" s="436">
        <v>3200</v>
      </c>
      <c r="J424" s="713">
        <f>'preturi unitare'!H41</f>
        <v>165</v>
      </c>
      <c r="K424" s="713">
        <f>I424*J424</f>
        <v>528000</v>
      </c>
      <c r="L424" s="411">
        <v>0</v>
      </c>
      <c r="M424" s="411">
        <f>K424</f>
        <v>528000</v>
      </c>
      <c r="N424" s="429">
        <v>0</v>
      </c>
      <c r="O424" s="1465">
        <f>SUM(L424:L428)</f>
        <v>1432200</v>
      </c>
      <c r="P424" s="1465">
        <f>O424/D424</f>
        <v>3625.8227848101264</v>
      </c>
      <c r="Q424" s="1572" t="s">
        <v>1617</v>
      </c>
    </row>
    <row r="425" spans="1:19" s="382" customFormat="1" ht="30">
      <c r="A425" s="1740"/>
      <c r="B425" s="1701"/>
      <c r="C425" s="1194" t="s">
        <v>1468</v>
      </c>
      <c r="D425" s="1197">
        <f>D412</f>
        <v>2078</v>
      </c>
      <c r="E425" s="1197">
        <f>1.1*D425</f>
        <v>2285.8000000000002</v>
      </c>
      <c r="F425" s="1192" t="s">
        <v>325</v>
      </c>
      <c r="G425" s="329" t="s">
        <v>497</v>
      </c>
      <c r="H425" s="368" t="s">
        <v>160</v>
      </c>
      <c r="I425" s="714">
        <v>5000</v>
      </c>
      <c r="J425" s="714">
        <f>J453</f>
        <v>154</v>
      </c>
      <c r="K425" s="714">
        <f>I425*J425</f>
        <v>770000</v>
      </c>
      <c r="L425" s="334">
        <f>K425</f>
        <v>770000</v>
      </c>
      <c r="M425" s="334">
        <v>0</v>
      </c>
      <c r="N425" s="429">
        <v>0</v>
      </c>
      <c r="O425" s="1482"/>
      <c r="P425" s="1482"/>
      <c r="Q425" s="1573"/>
    </row>
    <row r="426" spans="1:19" s="382" customFormat="1" ht="30">
      <c r="A426" s="1740"/>
      <c r="B426" s="1701"/>
      <c r="C426" s="718" t="s">
        <v>678</v>
      </c>
      <c r="D426" s="728">
        <f>D413</f>
        <v>1816</v>
      </c>
      <c r="E426" s="728">
        <f>D426</f>
        <v>1816</v>
      </c>
      <c r="F426" s="1192" t="s">
        <v>325</v>
      </c>
      <c r="G426" s="362" t="s">
        <v>498</v>
      </c>
      <c r="H426" s="368" t="s">
        <v>160</v>
      </c>
      <c r="I426" s="714">
        <v>4300</v>
      </c>
      <c r="J426" s="714">
        <f>'preturi unitare'!H40</f>
        <v>154</v>
      </c>
      <c r="K426" s="714">
        <f>I426*J426</f>
        <v>662200</v>
      </c>
      <c r="L426" s="334">
        <f>K426</f>
        <v>662200</v>
      </c>
      <c r="M426" s="334">
        <v>0</v>
      </c>
      <c r="N426" s="429">
        <v>0</v>
      </c>
      <c r="O426" s="1482"/>
      <c r="P426" s="1482"/>
      <c r="Q426" s="1573"/>
    </row>
    <row r="427" spans="1:19" s="382" customFormat="1" ht="30">
      <c r="A427" s="1740"/>
      <c r="B427" s="1701"/>
      <c r="C427" s="718" t="s">
        <v>679</v>
      </c>
      <c r="D427" s="728">
        <f>D414</f>
        <v>961</v>
      </c>
      <c r="E427" s="728">
        <f>D427</f>
        <v>961</v>
      </c>
      <c r="F427" s="1192" t="s">
        <v>325</v>
      </c>
      <c r="G427" s="362" t="s">
        <v>499</v>
      </c>
      <c r="H427" s="368" t="s">
        <v>160</v>
      </c>
      <c r="I427" s="714">
        <v>3500</v>
      </c>
      <c r="J427" s="714">
        <f>J425</f>
        <v>154</v>
      </c>
      <c r="K427" s="714">
        <f>I427*J427</f>
        <v>539000</v>
      </c>
      <c r="L427" s="334">
        <v>0</v>
      </c>
      <c r="M427" s="334">
        <f>K427</f>
        <v>539000</v>
      </c>
      <c r="N427" s="429">
        <v>0</v>
      </c>
      <c r="O427" s="1482"/>
      <c r="P427" s="1482"/>
      <c r="Q427" s="1573"/>
    </row>
    <row r="428" spans="1:19" s="382" customFormat="1" ht="30">
      <c r="A428" s="1741"/>
      <c r="B428" s="1701"/>
      <c r="C428" s="718" t="s">
        <v>1469</v>
      </c>
      <c r="D428" s="728">
        <f>D415</f>
        <v>395</v>
      </c>
      <c r="E428" s="728">
        <f>D428</f>
        <v>395</v>
      </c>
      <c r="F428" s="1192" t="s">
        <v>325</v>
      </c>
      <c r="G428" s="362" t="s">
        <v>914</v>
      </c>
      <c r="H428" s="368" t="s">
        <v>160</v>
      </c>
      <c r="I428" s="714">
        <v>2000</v>
      </c>
      <c r="J428" s="714">
        <f>J425</f>
        <v>154</v>
      </c>
      <c r="K428" s="714">
        <f>I428*J428</f>
        <v>308000</v>
      </c>
      <c r="L428" s="334">
        <v>0</v>
      </c>
      <c r="M428" s="334">
        <f>K428</f>
        <v>308000</v>
      </c>
      <c r="N428" s="429">
        <v>0</v>
      </c>
      <c r="O428" s="1482"/>
      <c r="P428" s="1482"/>
      <c r="Q428" s="1574"/>
    </row>
    <row r="429" spans="1:19" s="382" customFormat="1">
      <c r="A429" s="820"/>
      <c r="B429" s="722"/>
      <c r="C429" s="722"/>
      <c r="D429" s="722"/>
      <c r="E429" s="722"/>
      <c r="F429" s="721"/>
      <c r="G429" s="384"/>
      <c r="H429" s="714"/>
      <c r="I429" s="714"/>
      <c r="J429" s="714"/>
      <c r="K429" s="714"/>
      <c r="L429" s="334"/>
      <c r="M429" s="334"/>
      <c r="N429" s="326"/>
      <c r="O429" s="714"/>
      <c r="P429" s="714"/>
      <c r="Q429" s="587"/>
    </row>
    <row r="430" spans="1:19" s="382" customFormat="1">
      <c r="A430" s="1532" t="s">
        <v>472</v>
      </c>
      <c r="B430" s="1533"/>
      <c r="C430" s="1533"/>
      <c r="D430" s="1533"/>
      <c r="E430" s="1533"/>
      <c r="F430" s="1533"/>
      <c r="G430" s="1534"/>
      <c r="H430" s="364"/>
      <c r="I430" s="364"/>
      <c r="J430" s="364"/>
      <c r="K430" s="364">
        <f>SUM(K424:K428)</f>
        <v>2807200</v>
      </c>
      <c r="L430" s="365">
        <f>SUM(L424:L428)</f>
        <v>1432200</v>
      </c>
      <c r="M430" s="365">
        <f>SUM(M424:M428)</f>
        <v>1375000</v>
      </c>
      <c r="N430" s="364">
        <f>SUM(N424:N428)</f>
        <v>0</v>
      </c>
      <c r="O430" s="714"/>
      <c r="P430" s="714"/>
      <c r="Q430" s="587"/>
    </row>
    <row r="431" spans="1:19" s="382" customFormat="1">
      <c r="A431" s="820"/>
      <c r="B431" s="742"/>
      <c r="C431" s="742"/>
      <c r="D431" s="742"/>
      <c r="E431" s="742"/>
      <c r="F431" s="721"/>
      <c r="G431" s="328"/>
      <c r="H431" s="714"/>
      <c r="I431" s="714"/>
      <c r="J431" s="714"/>
      <c r="K431" s="714"/>
      <c r="L431" s="334"/>
      <c r="M431" s="334"/>
      <c r="N431" s="714"/>
      <c r="O431" s="714"/>
      <c r="P431" s="714"/>
      <c r="Q431" s="587"/>
    </row>
    <row r="432" spans="1:19" s="382" customFormat="1" ht="15" customHeight="1" thickBot="1">
      <c r="A432" s="1474" t="s">
        <v>473</v>
      </c>
      <c r="B432" s="1475"/>
      <c r="C432" s="1475"/>
      <c r="D432" s="1475"/>
      <c r="E432" s="1475"/>
      <c r="F432" s="1475"/>
      <c r="G432" s="1476"/>
      <c r="H432" s="581"/>
      <c r="I432" s="581"/>
      <c r="J432" s="581"/>
      <c r="K432" s="582">
        <f>K420+K430</f>
        <v>4025300</v>
      </c>
      <c r="L432" s="583">
        <f>L420+L430</f>
        <v>2650300</v>
      </c>
      <c r="M432" s="583">
        <f>M420+M430</f>
        <v>1375000</v>
      </c>
      <c r="N432" s="582">
        <f>N420+N430</f>
        <v>0</v>
      </c>
      <c r="O432" s="581"/>
      <c r="P432" s="581"/>
      <c r="Q432" s="816"/>
    </row>
    <row r="433" spans="1:19" s="382" customFormat="1" ht="15.75" thickBot="1">
      <c r="A433" s="586"/>
      <c r="B433" s="595"/>
      <c r="C433" s="595"/>
      <c r="D433" s="595"/>
      <c r="E433" s="595"/>
      <c r="F433" s="595"/>
      <c r="G433" s="595"/>
      <c r="H433" s="716"/>
      <c r="I433" s="716"/>
      <c r="J433" s="716"/>
      <c r="K433" s="626"/>
      <c r="L433" s="592"/>
      <c r="M433" s="592"/>
      <c r="N433" s="626"/>
      <c r="O433" s="716"/>
      <c r="P433" s="716"/>
      <c r="Q433" s="586"/>
    </row>
    <row r="434" spans="1:19" s="373" customFormat="1" ht="15.75" thickBot="1">
      <c r="A434" s="882"/>
      <c r="B434" s="639"/>
      <c r="C434" s="639"/>
      <c r="D434" s="639"/>
      <c r="E434" s="639"/>
      <c r="F434" s="846"/>
      <c r="G434" s="577" t="s">
        <v>1891</v>
      </c>
      <c r="H434" s="872"/>
      <c r="I434" s="873"/>
      <c r="J434" s="853"/>
      <c r="K434" s="639"/>
      <c r="L434" s="640"/>
      <c r="M434" s="640"/>
      <c r="N434" s="639"/>
      <c r="O434" s="712"/>
      <c r="P434" s="712"/>
      <c r="Q434" s="883"/>
    </row>
    <row r="435" spans="1:19" s="373" customFormat="1" ht="15.75" thickBot="1">
      <c r="A435" s="884"/>
      <c r="B435" s="355"/>
      <c r="C435" s="355"/>
      <c r="D435" s="355"/>
      <c r="E435" s="355"/>
      <c r="F435" s="356"/>
      <c r="G435" s="576"/>
      <c r="H435" s="358"/>
      <c r="I435" s="358"/>
      <c r="J435" s="358"/>
      <c r="K435" s="358"/>
      <c r="L435" s="359"/>
      <c r="M435" s="359"/>
      <c r="N435" s="358"/>
      <c r="O435" s="732"/>
      <c r="P435" s="732"/>
      <c r="Q435" s="862"/>
    </row>
    <row r="436" spans="1:19" s="373" customFormat="1" ht="60" customHeight="1">
      <c r="A436" s="1562" t="s">
        <v>632</v>
      </c>
      <c r="B436" s="1538" t="s">
        <v>676</v>
      </c>
      <c r="C436" s="1538" t="s">
        <v>610</v>
      </c>
      <c r="D436" s="1538" t="s">
        <v>611</v>
      </c>
      <c r="E436" s="1538" t="s">
        <v>1453</v>
      </c>
      <c r="F436" s="1472" t="s">
        <v>159</v>
      </c>
      <c r="G436" s="1509" t="s">
        <v>110</v>
      </c>
      <c r="H436" s="1477" t="s">
        <v>316</v>
      </c>
      <c r="I436" s="1472" t="s">
        <v>315</v>
      </c>
      <c r="J436" s="1472" t="s">
        <v>317</v>
      </c>
      <c r="K436" s="1472" t="s">
        <v>318</v>
      </c>
      <c r="L436" s="569" t="s">
        <v>1443</v>
      </c>
      <c r="M436" s="569" t="s">
        <v>1444</v>
      </c>
      <c r="N436" s="752" t="s">
        <v>1445</v>
      </c>
      <c r="O436" s="1477" t="s">
        <v>1673</v>
      </c>
      <c r="P436" s="1477" t="s">
        <v>1307</v>
      </c>
      <c r="Q436" s="1495" t="s">
        <v>1454</v>
      </c>
    </row>
    <row r="437" spans="1:19" s="373" customFormat="1" ht="15.75" thickBot="1">
      <c r="A437" s="1563"/>
      <c r="B437" s="1539"/>
      <c r="C437" s="1539"/>
      <c r="D437" s="1539"/>
      <c r="E437" s="1539"/>
      <c r="F437" s="1473"/>
      <c r="G437" s="1510"/>
      <c r="H437" s="1478"/>
      <c r="I437" s="1473"/>
      <c r="J437" s="1473"/>
      <c r="K437" s="1473"/>
      <c r="L437" s="570" t="s">
        <v>805</v>
      </c>
      <c r="M437" s="570" t="s">
        <v>805</v>
      </c>
      <c r="N437" s="753" t="s">
        <v>1149</v>
      </c>
      <c r="O437" s="1478"/>
      <c r="P437" s="1478"/>
      <c r="Q437" s="1496"/>
    </row>
    <row r="438" spans="1:19" s="373" customFormat="1" ht="45">
      <c r="A438" s="1633" t="s">
        <v>1470</v>
      </c>
      <c r="B438" s="1715" t="s">
        <v>1471</v>
      </c>
      <c r="C438" s="1487" t="s">
        <v>673</v>
      </c>
      <c r="D438" s="1598">
        <v>358</v>
      </c>
      <c r="E438" s="1628" t="s">
        <v>1451</v>
      </c>
      <c r="F438" s="757" t="s">
        <v>531</v>
      </c>
      <c r="G438" s="402" t="s">
        <v>540</v>
      </c>
      <c r="H438" s="756" t="s">
        <v>160</v>
      </c>
      <c r="I438" s="756">
        <v>2400</v>
      </c>
      <c r="J438" s="756">
        <f>'preturi unitare'!H22</f>
        <v>64</v>
      </c>
      <c r="K438" s="756">
        <f>I438*J438</f>
        <v>153600</v>
      </c>
      <c r="L438" s="411">
        <f t="shared" ref="L438:L445" si="45">K438</f>
        <v>153600</v>
      </c>
      <c r="M438" s="411">
        <v>0</v>
      </c>
      <c r="N438" s="881">
        <v>0</v>
      </c>
      <c r="O438" s="1465">
        <f>SUM(L438:L441)</f>
        <v>455600</v>
      </c>
      <c r="P438" s="1465">
        <f>O438/D438</f>
        <v>1272.6256983240223</v>
      </c>
      <c r="Q438" s="1497" t="s">
        <v>1618</v>
      </c>
    </row>
    <row r="439" spans="1:19" s="373" customFormat="1" ht="30">
      <c r="A439" s="1630"/>
      <c r="B439" s="1587"/>
      <c r="C439" s="1488"/>
      <c r="D439" s="1577"/>
      <c r="E439" s="1627"/>
      <c r="F439" s="762" t="s">
        <v>322</v>
      </c>
      <c r="G439" s="362" t="s">
        <v>1240</v>
      </c>
      <c r="H439" s="807" t="s">
        <v>160</v>
      </c>
      <c r="I439" s="776">
        <v>4000</v>
      </c>
      <c r="J439" s="776">
        <f>J10</f>
        <v>55</v>
      </c>
      <c r="K439" s="776">
        <f>I439*J439</f>
        <v>220000</v>
      </c>
      <c r="L439" s="334">
        <f t="shared" si="45"/>
        <v>220000</v>
      </c>
      <c r="M439" s="334">
        <v>0</v>
      </c>
      <c r="N439" s="385">
        <v>0</v>
      </c>
      <c r="O439" s="1482"/>
      <c r="P439" s="1482"/>
      <c r="Q439" s="1498"/>
    </row>
    <row r="440" spans="1:19" s="373" customFormat="1" ht="30">
      <c r="A440" s="1630"/>
      <c r="B440" s="1587"/>
      <c r="C440" s="1488"/>
      <c r="D440" s="1577"/>
      <c r="E440" s="1627"/>
      <c r="F440" s="762" t="s">
        <v>324</v>
      </c>
      <c r="G440" s="362" t="s">
        <v>1239</v>
      </c>
      <c r="H440" s="807" t="s">
        <v>280</v>
      </c>
      <c r="I440" s="776">
        <v>1</v>
      </c>
      <c r="J440" s="776">
        <f>'preturi unitare'!H5</f>
        <v>70000</v>
      </c>
      <c r="K440" s="776">
        <f>I440*J440</f>
        <v>70000</v>
      </c>
      <c r="L440" s="334">
        <f t="shared" si="45"/>
        <v>70000</v>
      </c>
      <c r="M440" s="334">
        <v>0</v>
      </c>
      <c r="N440" s="385">
        <v>0</v>
      </c>
      <c r="O440" s="1482"/>
      <c r="P440" s="1482"/>
      <c r="Q440" s="1498"/>
    </row>
    <row r="441" spans="1:19" s="373" customFormat="1" ht="32.25">
      <c r="A441" s="1630"/>
      <c r="B441" s="1587"/>
      <c r="C441" s="1488"/>
      <c r="D441" s="1577"/>
      <c r="E441" s="1598"/>
      <c r="F441" s="762" t="s">
        <v>279</v>
      </c>
      <c r="G441" s="362" t="s">
        <v>1241</v>
      </c>
      <c r="H441" s="807" t="s">
        <v>280</v>
      </c>
      <c r="I441" s="776">
        <v>1</v>
      </c>
      <c r="J441" s="776">
        <f>'preturi unitare'!B31</f>
        <v>12000</v>
      </c>
      <c r="K441" s="776">
        <f>J441</f>
        <v>12000</v>
      </c>
      <c r="L441" s="334">
        <f t="shared" si="45"/>
        <v>12000</v>
      </c>
      <c r="M441" s="334">
        <v>0</v>
      </c>
      <c r="N441" s="385">
        <v>0</v>
      </c>
      <c r="O441" s="1482"/>
      <c r="P441" s="1482"/>
      <c r="Q441" s="1499"/>
    </row>
    <row r="442" spans="1:19" s="373" customFormat="1" ht="30">
      <c r="A442" s="1630"/>
      <c r="B442" s="1587"/>
      <c r="C442" s="1488" t="s">
        <v>674</v>
      </c>
      <c r="D442" s="1577">
        <v>772</v>
      </c>
      <c r="E442" s="1606" t="s">
        <v>1451</v>
      </c>
      <c r="F442" s="762" t="s">
        <v>1242</v>
      </c>
      <c r="G442" s="362" t="s">
        <v>1243</v>
      </c>
      <c r="H442" s="807" t="s">
        <v>280</v>
      </c>
      <c r="I442" s="776">
        <v>1</v>
      </c>
      <c r="J442" s="776">
        <f>'preturi unitare'!O4</f>
        <v>125000</v>
      </c>
      <c r="K442" s="776">
        <f>I442*J442</f>
        <v>125000</v>
      </c>
      <c r="L442" s="334">
        <f t="shared" si="45"/>
        <v>125000</v>
      </c>
      <c r="M442" s="334">
        <v>0</v>
      </c>
      <c r="N442" s="385">
        <v>0</v>
      </c>
      <c r="O442" s="1482">
        <f>SUM(L442:L444)</f>
        <v>417500</v>
      </c>
      <c r="P442" s="1482">
        <f>O442/D442</f>
        <v>540.80310880829018</v>
      </c>
      <c r="Q442" s="1500" t="s">
        <v>1619</v>
      </c>
    </row>
    <row r="443" spans="1:19" s="373" customFormat="1" ht="30">
      <c r="A443" s="1630"/>
      <c r="B443" s="1587"/>
      <c r="C443" s="1488"/>
      <c r="D443" s="1577"/>
      <c r="E443" s="1627"/>
      <c r="F443" s="762" t="s">
        <v>322</v>
      </c>
      <c r="G443" s="362" t="s">
        <v>495</v>
      </c>
      <c r="H443" s="807" t="s">
        <v>160</v>
      </c>
      <c r="I443" s="776">
        <v>4000</v>
      </c>
      <c r="J443" s="776">
        <f>'preturi unitare'!H22</f>
        <v>64</v>
      </c>
      <c r="K443" s="776">
        <f>I443*J443</f>
        <v>256000</v>
      </c>
      <c r="L443" s="334">
        <f t="shared" si="45"/>
        <v>256000</v>
      </c>
      <c r="M443" s="334">
        <v>0</v>
      </c>
      <c r="N443" s="385">
        <v>0</v>
      </c>
      <c r="O443" s="1482"/>
      <c r="P443" s="1482"/>
      <c r="Q443" s="1498"/>
    </row>
    <row r="444" spans="1:19" s="373" customFormat="1" ht="32.25">
      <c r="A444" s="1630"/>
      <c r="B444" s="1587"/>
      <c r="C444" s="1488"/>
      <c r="D444" s="1577"/>
      <c r="E444" s="1598"/>
      <c r="F444" s="762" t="s">
        <v>279</v>
      </c>
      <c r="G444" s="329" t="s">
        <v>906</v>
      </c>
      <c r="H444" s="653" t="s">
        <v>280</v>
      </c>
      <c r="I444" s="776">
        <v>1</v>
      </c>
      <c r="J444" s="776">
        <f>'preturi unitare'!E26</f>
        <v>36500</v>
      </c>
      <c r="K444" s="776">
        <f>I444*J444</f>
        <v>36500</v>
      </c>
      <c r="L444" s="334">
        <f t="shared" si="45"/>
        <v>36500</v>
      </c>
      <c r="M444" s="334">
        <v>0</v>
      </c>
      <c r="N444" s="385">
        <v>0</v>
      </c>
      <c r="O444" s="1482"/>
      <c r="P444" s="1482"/>
      <c r="Q444" s="1499"/>
    </row>
    <row r="445" spans="1:19" s="373" customFormat="1" ht="62.25" customHeight="1">
      <c r="A445" s="1634"/>
      <c r="B445" s="1487"/>
      <c r="C445" s="1215" t="s">
        <v>1470</v>
      </c>
      <c r="D445" s="1212">
        <v>2729</v>
      </c>
      <c r="E445" s="1213" t="s">
        <v>1451</v>
      </c>
      <c r="F445" s="1208" t="s">
        <v>322</v>
      </c>
      <c r="G445" s="329" t="s">
        <v>2024</v>
      </c>
      <c r="H445" s="1209" t="s">
        <v>160</v>
      </c>
      <c r="I445" s="1207">
        <v>6500</v>
      </c>
      <c r="J445" s="1207">
        <f>'preturi unitare'!H22</f>
        <v>64</v>
      </c>
      <c r="K445" s="1207">
        <f>I445*J445</f>
        <v>416000</v>
      </c>
      <c r="L445" s="334">
        <f t="shared" si="45"/>
        <v>416000</v>
      </c>
      <c r="M445" s="334">
        <v>0</v>
      </c>
      <c r="N445" s="385">
        <v>0</v>
      </c>
      <c r="O445" s="1207">
        <f>L445</f>
        <v>416000</v>
      </c>
      <c r="P445" s="1207">
        <f>O445/D445</f>
        <v>152.4367900329791</v>
      </c>
      <c r="Q445" s="1228" t="s">
        <v>1619</v>
      </c>
    </row>
    <row r="446" spans="1:19" s="373" customFormat="1">
      <c r="A446" s="1216"/>
      <c r="B446" s="1217"/>
      <c r="C446" s="1215"/>
      <c r="D446" s="1212"/>
      <c r="E446" s="1211"/>
      <c r="F446" s="1208"/>
      <c r="G446" s="329"/>
      <c r="H446" s="1209"/>
      <c r="I446" s="1207"/>
      <c r="J446" s="1207"/>
      <c r="K446" s="1207"/>
      <c r="L446" s="334"/>
      <c r="M446" s="334"/>
      <c r="N446" s="385"/>
      <c r="O446" s="1207"/>
      <c r="P446" s="1207"/>
      <c r="Q446" s="1229"/>
    </row>
    <row r="447" spans="1:19" s="373" customFormat="1">
      <c r="A447" s="885"/>
      <c r="B447" s="761"/>
      <c r="C447" s="761"/>
      <c r="D447" s="761"/>
      <c r="E447" s="761"/>
      <c r="F447" s="762"/>
      <c r="G447" s="329"/>
      <c r="H447" s="653"/>
      <c r="I447" s="776"/>
      <c r="J447" s="776"/>
      <c r="K447" s="776"/>
      <c r="L447" s="334">
        <v>0</v>
      </c>
      <c r="M447" s="334"/>
      <c r="N447" s="326"/>
      <c r="O447" s="776"/>
      <c r="P447" s="776"/>
      <c r="Q447" s="1230"/>
    </row>
    <row r="448" spans="1:19" s="373" customFormat="1">
      <c r="A448" s="1469" t="s">
        <v>462</v>
      </c>
      <c r="B448" s="1470"/>
      <c r="C448" s="1470"/>
      <c r="D448" s="1470"/>
      <c r="E448" s="1470"/>
      <c r="F448" s="1470"/>
      <c r="G448" s="1471"/>
      <c r="H448" s="793"/>
      <c r="I448" s="776"/>
      <c r="J448" s="776"/>
      <c r="K448" s="364">
        <f>SUM(K438:K445)</f>
        <v>1289100</v>
      </c>
      <c r="L448" s="365">
        <f>SUM(L438:L447)</f>
        <v>1289100</v>
      </c>
      <c r="M448" s="365">
        <f>SUM(M438:M445)</f>
        <v>0</v>
      </c>
      <c r="N448" s="364">
        <f>SUM(N438:N445)</f>
        <v>0</v>
      </c>
      <c r="O448" s="776"/>
      <c r="P448" s="776"/>
      <c r="Q448" s="584"/>
      <c r="S448" s="374"/>
    </row>
    <row r="449" spans="1:17" s="373" customFormat="1" ht="15.75" thickBot="1">
      <c r="A449" s="884"/>
      <c r="B449" s="397"/>
      <c r="C449" s="397"/>
      <c r="D449" s="397"/>
      <c r="E449" s="397"/>
      <c r="F449" s="766"/>
      <c r="G449" s="417"/>
      <c r="H449" s="732"/>
      <c r="I449" s="732"/>
      <c r="J449" s="732"/>
      <c r="K449" s="732"/>
      <c r="L449" s="426"/>
      <c r="M449" s="426"/>
      <c r="N449" s="418"/>
      <c r="O449" s="732"/>
      <c r="P449" s="732"/>
      <c r="Q449" s="862"/>
    </row>
    <row r="450" spans="1:17" s="373" customFormat="1" ht="60" customHeight="1">
      <c r="A450" s="1608" t="s">
        <v>632</v>
      </c>
      <c r="B450" s="1544" t="s">
        <v>617</v>
      </c>
      <c r="C450" s="1538" t="s">
        <v>610</v>
      </c>
      <c r="D450" s="1538" t="s">
        <v>611</v>
      </c>
      <c r="E450" s="1538" t="s">
        <v>1453</v>
      </c>
      <c r="F450" s="1472" t="s">
        <v>159</v>
      </c>
      <c r="G450" s="1509" t="s">
        <v>110</v>
      </c>
      <c r="H450" s="1477" t="s">
        <v>316</v>
      </c>
      <c r="I450" s="1472" t="s">
        <v>315</v>
      </c>
      <c r="J450" s="1472" t="s">
        <v>317</v>
      </c>
      <c r="K450" s="1472" t="s">
        <v>318</v>
      </c>
      <c r="L450" s="569" t="s">
        <v>1443</v>
      </c>
      <c r="M450" s="569" t="s">
        <v>1444</v>
      </c>
      <c r="N450" s="752" t="s">
        <v>1445</v>
      </c>
      <c r="O450" s="1477" t="s">
        <v>1673</v>
      </c>
      <c r="P450" s="1477" t="s">
        <v>1307</v>
      </c>
      <c r="Q450" s="1495" t="s">
        <v>1454</v>
      </c>
    </row>
    <row r="451" spans="1:17" s="373" customFormat="1" ht="15.75" thickBot="1">
      <c r="A451" s="1609"/>
      <c r="B451" s="1545"/>
      <c r="C451" s="1539"/>
      <c r="D451" s="1539"/>
      <c r="E451" s="1539"/>
      <c r="F451" s="1473"/>
      <c r="G451" s="1510"/>
      <c r="H451" s="1478"/>
      <c r="I451" s="1473"/>
      <c r="J451" s="1473"/>
      <c r="K451" s="1473"/>
      <c r="L451" s="570" t="s">
        <v>805</v>
      </c>
      <c r="M451" s="570" t="s">
        <v>805</v>
      </c>
      <c r="N451" s="753" t="s">
        <v>1149</v>
      </c>
      <c r="O451" s="1478"/>
      <c r="P451" s="1478"/>
      <c r="Q451" s="1496"/>
    </row>
    <row r="452" spans="1:17" s="373" customFormat="1" ht="45" customHeight="1">
      <c r="A452" s="1633" t="s">
        <v>1470</v>
      </c>
      <c r="B452" s="1599" t="s">
        <v>1451</v>
      </c>
      <c r="C452" s="1599" t="s">
        <v>1244</v>
      </c>
      <c r="D452" s="1598">
        <v>358</v>
      </c>
      <c r="E452" s="1627">
        <f>D452</f>
        <v>358</v>
      </c>
      <c r="F452" s="757" t="s">
        <v>144</v>
      </c>
      <c r="G452" s="423" t="s">
        <v>907</v>
      </c>
      <c r="H452" s="431" t="s">
        <v>160</v>
      </c>
      <c r="I452" s="1042">
        <v>3200</v>
      </c>
      <c r="J452" s="756">
        <f>'preturi unitare'!H41</f>
        <v>165</v>
      </c>
      <c r="K452" s="756">
        <f t="shared" ref="K452:K457" si="46">I452*J452</f>
        <v>528000</v>
      </c>
      <c r="L452" s="411">
        <v>0</v>
      </c>
      <c r="M452" s="411">
        <f>K452</f>
        <v>528000</v>
      </c>
      <c r="N452" s="756">
        <v>0</v>
      </c>
      <c r="O452" s="1465">
        <f>SUM(K452:K453)</f>
        <v>990000</v>
      </c>
      <c r="P452" s="1465">
        <f>O452/D452</f>
        <v>2765.36312849162</v>
      </c>
      <c r="Q452" s="1497" t="s">
        <v>1680</v>
      </c>
    </row>
    <row r="453" spans="1:17" s="373" customFormat="1" ht="47.25" customHeight="1">
      <c r="A453" s="1630"/>
      <c r="B453" s="1567"/>
      <c r="C453" s="1567"/>
      <c r="D453" s="1577"/>
      <c r="E453" s="1598"/>
      <c r="F453" s="804" t="s">
        <v>325</v>
      </c>
      <c r="G453" s="329" t="s">
        <v>908</v>
      </c>
      <c r="H453" s="807" t="s">
        <v>160</v>
      </c>
      <c r="I453" s="776">
        <v>3000</v>
      </c>
      <c r="J453" s="776">
        <f>'preturi unitare'!H40</f>
        <v>154</v>
      </c>
      <c r="K453" s="776">
        <f t="shared" si="46"/>
        <v>462000</v>
      </c>
      <c r="L453" s="410">
        <v>0</v>
      </c>
      <c r="M453" s="410">
        <f>K453</f>
        <v>462000</v>
      </c>
      <c r="N453" s="1280">
        <v>0</v>
      </c>
      <c r="O453" s="1482"/>
      <c r="P453" s="1482"/>
      <c r="Q453" s="1499"/>
    </row>
    <row r="454" spans="1:17" s="373" customFormat="1" ht="30">
      <c r="A454" s="1630"/>
      <c r="B454" s="1567" t="s">
        <v>1451</v>
      </c>
      <c r="C454" s="1488" t="s">
        <v>674</v>
      </c>
      <c r="D454" s="1577">
        <f>D442</f>
        <v>772</v>
      </c>
      <c r="E454" s="1629">
        <f>D454</f>
        <v>772</v>
      </c>
      <c r="F454" s="762" t="s">
        <v>323</v>
      </c>
      <c r="G454" s="362" t="s">
        <v>909</v>
      </c>
      <c r="H454" s="807" t="s">
        <v>280</v>
      </c>
      <c r="I454" s="776">
        <v>1</v>
      </c>
      <c r="J454" s="776">
        <f>'preturi unitare'!O27</f>
        <v>106500</v>
      </c>
      <c r="K454" s="776">
        <f t="shared" si="46"/>
        <v>106500</v>
      </c>
      <c r="L454" s="334">
        <v>0</v>
      </c>
      <c r="M454" s="334">
        <f>K454</f>
        <v>106500</v>
      </c>
      <c r="N454" s="1280">
        <v>0</v>
      </c>
      <c r="O454" s="1482">
        <f>SUM(K454:K455)</f>
        <v>722500</v>
      </c>
      <c r="P454" s="1482">
        <f>O454/D454</f>
        <v>935.88082901554401</v>
      </c>
      <c r="Q454" s="1500" t="s">
        <v>1506</v>
      </c>
    </row>
    <row r="455" spans="1:17" s="373" customFormat="1" ht="30">
      <c r="A455" s="1630"/>
      <c r="B455" s="1567"/>
      <c r="C455" s="1488"/>
      <c r="D455" s="1577"/>
      <c r="E455" s="1598"/>
      <c r="F455" s="762" t="s">
        <v>325</v>
      </c>
      <c r="G455" s="362" t="s">
        <v>910</v>
      </c>
      <c r="H455" s="807" t="s">
        <v>160</v>
      </c>
      <c r="I455" s="776">
        <v>4000</v>
      </c>
      <c r="J455" s="776">
        <f>J453</f>
        <v>154</v>
      </c>
      <c r="K455" s="776">
        <f t="shared" si="46"/>
        <v>616000</v>
      </c>
      <c r="L455" s="410">
        <v>0</v>
      </c>
      <c r="M455" s="410">
        <f>K455</f>
        <v>616000</v>
      </c>
      <c r="N455" s="1280">
        <v>0</v>
      </c>
      <c r="O455" s="1482"/>
      <c r="P455" s="1482"/>
      <c r="Q455" s="1646"/>
    </row>
    <row r="456" spans="1:17" s="373" customFormat="1" ht="30">
      <c r="A456" s="1630"/>
      <c r="B456" s="751" t="s">
        <v>1451</v>
      </c>
      <c r="C456" s="1194" t="s">
        <v>675</v>
      </c>
      <c r="D456" s="1181">
        <v>189</v>
      </c>
      <c r="E456" s="763">
        <f>D456</f>
        <v>189</v>
      </c>
      <c r="F456" s="762" t="s">
        <v>323</v>
      </c>
      <c r="G456" s="329" t="s">
        <v>1702</v>
      </c>
      <c r="H456" s="807" t="s">
        <v>1322</v>
      </c>
      <c r="I456" s="776">
        <v>1</v>
      </c>
      <c r="J456" s="776">
        <f>'preturi unitare'!N4</f>
        <v>70000</v>
      </c>
      <c r="K456" s="776">
        <f t="shared" si="46"/>
        <v>70000</v>
      </c>
      <c r="L456" s="334">
        <v>0</v>
      </c>
      <c r="M456" s="334">
        <f>K456</f>
        <v>70000</v>
      </c>
      <c r="N456" s="1280">
        <v>0</v>
      </c>
      <c r="O456" s="776">
        <f>K456</f>
        <v>70000</v>
      </c>
      <c r="P456" s="776">
        <f>O456/D456</f>
        <v>370.37037037037038</v>
      </c>
      <c r="Q456" s="1559"/>
    </row>
    <row r="457" spans="1:17" s="373" customFormat="1" ht="75">
      <c r="A457" s="1634"/>
      <c r="B457" s="1210" t="s">
        <v>612</v>
      </c>
      <c r="C457" s="1210" t="s">
        <v>1470</v>
      </c>
      <c r="D457" s="1214">
        <f>D445</f>
        <v>2729</v>
      </c>
      <c r="E457" s="1212">
        <f>D457*1.1</f>
        <v>3001.9</v>
      </c>
      <c r="F457" s="1208" t="s">
        <v>325</v>
      </c>
      <c r="G457" s="329" t="s">
        <v>2025</v>
      </c>
      <c r="H457" s="807" t="s">
        <v>160</v>
      </c>
      <c r="I457" s="1207">
        <v>6500</v>
      </c>
      <c r="J457" s="1207">
        <f>'preturi unitare'!H40</f>
        <v>154</v>
      </c>
      <c r="K457" s="1207">
        <f t="shared" si="46"/>
        <v>1001000</v>
      </c>
      <c r="L457" s="334">
        <f>K457</f>
        <v>1001000</v>
      </c>
      <c r="M457" s="334">
        <v>0</v>
      </c>
      <c r="N457" s="1280">
        <v>0</v>
      </c>
      <c r="O457" s="1207">
        <f>L457</f>
        <v>1001000</v>
      </c>
      <c r="P457" s="1207">
        <f>O457/E457</f>
        <v>333.45547819714182</v>
      </c>
      <c r="Q457" s="1206" t="s">
        <v>2026</v>
      </c>
    </row>
    <row r="458" spans="1:17" s="373" customFormat="1">
      <c r="A458" s="885"/>
      <c r="B458" s="761"/>
      <c r="C458" s="761"/>
      <c r="D458" s="761"/>
      <c r="E458" s="761"/>
      <c r="F458" s="762"/>
      <c r="G458" s="384"/>
      <c r="H458" s="776"/>
      <c r="I458" s="776"/>
      <c r="J458" s="776"/>
      <c r="K458" s="776"/>
      <c r="L458" s="334"/>
      <c r="M458" s="334"/>
      <c r="N458" s="385"/>
      <c r="O458" s="776"/>
      <c r="P458" s="776"/>
      <c r="Q458" s="584"/>
    </row>
    <row r="459" spans="1:17" s="373" customFormat="1">
      <c r="A459" s="1532" t="s">
        <v>463</v>
      </c>
      <c r="B459" s="1533"/>
      <c r="C459" s="1533"/>
      <c r="D459" s="1533"/>
      <c r="E459" s="1533"/>
      <c r="F459" s="1533"/>
      <c r="G459" s="1534"/>
      <c r="H459" s="364"/>
      <c r="I459" s="364"/>
      <c r="J459" s="364"/>
      <c r="K459" s="364">
        <f>SUM(K452:K457)</f>
        <v>2783500</v>
      </c>
      <c r="L459" s="365">
        <f>SUM(L452:L457)</f>
        <v>1001000</v>
      </c>
      <c r="M459" s="365">
        <f>SUM(M452:M457)</f>
        <v>1782500</v>
      </c>
      <c r="N459" s="364">
        <f>SUM(N452:N457)</f>
        <v>0</v>
      </c>
      <c r="O459" s="776"/>
      <c r="P459" s="776"/>
      <c r="Q459" s="584"/>
    </row>
    <row r="460" spans="1:17" s="373" customFormat="1">
      <c r="A460" s="885"/>
      <c r="B460" s="782"/>
      <c r="C460" s="782"/>
      <c r="D460" s="782"/>
      <c r="E460" s="782"/>
      <c r="F460" s="762"/>
      <c r="G460" s="328"/>
      <c r="H460" s="776"/>
      <c r="I460" s="776"/>
      <c r="J460" s="776"/>
      <c r="K460" s="776"/>
      <c r="L460" s="334"/>
      <c r="M460" s="334"/>
      <c r="N460" s="776"/>
      <c r="O460" s="776"/>
      <c r="P460" s="776"/>
      <c r="Q460" s="584"/>
    </row>
    <row r="461" spans="1:17" s="373" customFormat="1" ht="15" customHeight="1" thickBot="1">
      <c r="A461" s="1474" t="s">
        <v>464</v>
      </c>
      <c r="B461" s="1475"/>
      <c r="C461" s="1475"/>
      <c r="D461" s="1475"/>
      <c r="E461" s="1475"/>
      <c r="F461" s="1475"/>
      <c r="G461" s="1476"/>
      <c r="H461" s="581"/>
      <c r="I461" s="581"/>
      <c r="J461" s="581"/>
      <c r="K461" s="582">
        <f>K448+K459</f>
        <v>4072600</v>
      </c>
      <c r="L461" s="583">
        <f>L448+L459</f>
        <v>2290100</v>
      </c>
      <c r="M461" s="583">
        <f>M448+M459</f>
        <v>1782500</v>
      </c>
      <c r="N461" s="582">
        <f>N448+N459</f>
        <v>0</v>
      </c>
      <c r="O461" s="581"/>
      <c r="P461" s="581"/>
      <c r="Q461" s="886"/>
    </row>
    <row r="462" spans="1:17" s="373" customFormat="1" ht="15.75" thickBot="1">
      <c r="A462" s="876"/>
      <c r="B462" s="595"/>
      <c r="C462" s="595"/>
      <c r="D462" s="595"/>
      <c r="E462" s="595"/>
      <c r="F462" s="595"/>
      <c r="G462" s="595"/>
      <c r="H462" s="716"/>
      <c r="I462" s="716"/>
      <c r="J462" s="716"/>
      <c r="K462" s="626"/>
      <c r="L462" s="592"/>
      <c r="M462" s="592"/>
      <c r="N462" s="626"/>
      <c r="O462" s="716"/>
      <c r="P462" s="716"/>
      <c r="Q462" s="876"/>
    </row>
    <row r="463" spans="1:17" s="382" customFormat="1" ht="15.75" thickBot="1">
      <c r="A463" s="859"/>
      <c r="B463" s="894"/>
      <c r="C463" s="894"/>
      <c r="D463" s="894"/>
      <c r="E463" s="894"/>
      <c r="F463" s="846"/>
      <c r="G463" s="599" t="s">
        <v>1892</v>
      </c>
      <c r="H463" s="830"/>
      <c r="I463" s="639"/>
      <c r="J463" s="639"/>
      <c r="K463" s="639"/>
      <c r="L463" s="640"/>
      <c r="M463" s="640"/>
      <c r="N463" s="639"/>
      <c r="O463" s="641"/>
      <c r="P463" s="641"/>
      <c r="Q463" s="642"/>
    </row>
    <row r="464" spans="1:17" s="382" customFormat="1" ht="15.75" thickBot="1">
      <c r="A464" s="833"/>
      <c r="B464" s="355"/>
      <c r="C464" s="355"/>
      <c r="D464" s="355"/>
      <c r="E464" s="355"/>
      <c r="F464" s="356"/>
      <c r="G464" s="576"/>
      <c r="H464" s="358"/>
      <c r="I464" s="358"/>
      <c r="J464" s="358"/>
      <c r="K464" s="358"/>
      <c r="L464" s="359"/>
      <c r="M464" s="359"/>
      <c r="N464" s="358"/>
      <c r="O464" s="406"/>
      <c r="P464" s="406"/>
      <c r="Q464" s="857"/>
    </row>
    <row r="465" spans="1:17" ht="60" customHeight="1">
      <c r="A465" s="1562" t="s">
        <v>1472</v>
      </c>
      <c r="B465" s="1538" t="s">
        <v>676</v>
      </c>
      <c r="C465" s="1538" t="s">
        <v>610</v>
      </c>
      <c r="D465" s="1538" t="s">
        <v>611</v>
      </c>
      <c r="E465" s="1538" t="s">
        <v>1453</v>
      </c>
      <c r="F465" s="1472" t="s">
        <v>159</v>
      </c>
      <c r="G465" s="1509" t="s">
        <v>110</v>
      </c>
      <c r="H465" s="1477" t="s">
        <v>316</v>
      </c>
      <c r="I465" s="1472" t="s">
        <v>315</v>
      </c>
      <c r="J465" s="1472" t="s">
        <v>317</v>
      </c>
      <c r="K465" s="1472" t="s">
        <v>318</v>
      </c>
      <c r="L465" s="569" t="s">
        <v>1443</v>
      </c>
      <c r="M465" s="569" t="s">
        <v>1444</v>
      </c>
      <c r="N465" s="752" t="s">
        <v>1445</v>
      </c>
      <c r="O465" s="1477" t="s">
        <v>1673</v>
      </c>
      <c r="P465" s="1477" t="s">
        <v>1307</v>
      </c>
      <c r="Q465" s="1495" t="s">
        <v>1454</v>
      </c>
    </row>
    <row r="466" spans="1:17" ht="15.75" thickBot="1">
      <c r="A466" s="1563"/>
      <c r="B466" s="1539"/>
      <c r="C466" s="1539"/>
      <c r="D466" s="1539"/>
      <c r="E466" s="1539"/>
      <c r="F466" s="1473"/>
      <c r="G466" s="1510"/>
      <c r="H466" s="1478"/>
      <c r="I466" s="1473"/>
      <c r="J466" s="1473"/>
      <c r="K466" s="1473"/>
      <c r="L466" s="570" t="s">
        <v>805</v>
      </c>
      <c r="M466" s="570" t="s">
        <v>805</v>
      </c>
      <c r="N466" s="753" t="s">
        <v>1149</v>
      </c>
      <c r="O466" s="1478"/>
      <c r="P466" s="1478"/>
      <c r="Q466" s="1496"/>
    </row>
    <row r="467" spans="1:17" s="373" customFormat="1" ht="60">
      <c r="A467" s="1630" t="s">
        <v>612</v>
      </c>
      <c r="B467" s="1623" t="s">
        <v>612</v>
      </c>
      <c r="C467" s="1759" t="s">
        <v>613</v>
      </c>
      <c r="D467" s="1628">
        <v>78042</v>
      </c>
      <c r="E467" s="1628" t="s">
        <v>1451</v>
      </c>
      <c r="F467" s="736" t="s">
        <v>140</v>
      </c>
      <c r="G467" s="412" t="s">
        <v>563</v>
      </c>
      <c r="H467" s="422" t="s">
        <v>280</v>
      </c>
      <c r="I467" s="756">
        <v>1</v>
      </c>
      <c r="J467" s="756">
        <v>250000</v>
      </c>
      <c r="K467" s="756">
        <f>J467*I467</f>
        <v>250000</v>
      </c>
      <c r="L467" s="411">
        <f>K467</f>
        <v>250000</v>
      </c>
      <c r="M467" s="411">
        <v>0</v>
      </c>
      <c r="N467" s="420">
        <v>0</v>
      </c>
      <c r="O467" s="1465">
        <f>SUM(L467:L494)</f>
        <v>18127400</v>
      </c>
      <c r="P467" s="1465">
        <f>O467/D467</f>
        <v>232.27749160708336</v>
      </c>
      <c r="Q467" s="1497" t="s">
        <v>1620</v>
      </c>
    </row>
    <row r="468" spans="1:17" s="373" customFormat="1" ht="30">
      <c r="A468" s="1631"/>
      <c r="B468" s="1624"/>
      <c r="C468" s="1759"/>
      <c r="D468" s="1628"/>
      <c r="E468" s="1628"/>
      <c r="F468" s="1739" t="s">
        <v>319</v>
      </c>
      <c r="G468" s="329" t="s">
        <v>562</v>
      </c>
      <c r="H468" s="807" t="s">
        <v>280</v>
      </c>
      <c r="I468" s="776">
        <v>1</v>
      </c>
      <c r="J468" s="776">
        <v>450000</v>
      </c>
      <c r="K468" s="776">
        <f>J468*I468</f>
        <v>450000</v>
      </c>
      <c r="L468" s="334">
        <f>K468</f>
        <v>450000</v>
      </c>
      <c r="M468" s="334">
        <v>0</v>
      </c>
      <c r="N468" s="375">
        <v>0</v>
      </c>
      <c r="O468" s="1482"/>
      <c r="P468" s="1482"/>
      <c r="Q468" s="1498"/>
    </row>
    <row r="469" spans="1:17" s="373" customFormat="1" ht="30">
      <c r="A469" s="1631"/>
      <c r="B469" s="1624"/>
      <c r="C469" s="1759"/>
      <c r="D469" s="1628"/>
      <c r="E469" s="1628"/>
      <c r="F469" s="1739"/>
      <c r="G469" s="329" t="s">
        <v>1974</v>
      </c>
      <c r="H469" s="807" t="s">
        <v>280</v>
      </c>
      <c r="I469" s="1177">
        <v>1</v>
      </c>
      <c r="J469" s="1177">
        <v>500000</v>
      </c>
      <c r="K469" s="1177">
        <f>I469*J469</f>
        <v>500000</v>
      </c>
      <c r="L469" s="334">
        <f>K469</f>
        <v>500000</v>
      </c>
      <c r="M469" s="334">
        <v>0</v>
      </c>
      <c r="N469" s="375">
        <v>0</v>
      </c>
      <c r="O469" s="1482"/>
      <c r="P469" s="1482"/>
      <c r="Q469" s="1498"/>
    </row>
    <row r="470" spans="1:17" s="373" customFormat="1">
      <c r="A470" s="1631"/>
      <c r="B470" s="1624"/>
      <c r="C470" s="1759"/>
      <c r="D470" s="1628"/>
      <c r="E470" s="1628"/>
      <c r="F470" s="1739"/>
      <c r="G470" s="391" t="s">
        <v>516</v>
      </c>
      <c r="H470" s="389" t="s">
        <v>280</v>
      </c>
      <c r="I470" s="389">
        <v>4</v>
      </c>
      <c r="J470" s="389">
        <v>65000</v>
      </c>
      <c r="K470" s="389">
        <f>J470*I470</f>
        <v>260000</v>
      </c>
      <c r="L470" s="334">
        <f>K470</f>
        <v>260000</v>
      </c>
      <c r="M470" s="334">
        <v>0</v>
      </c>
      <c r="N470" s="375">
        <v>0</v>
      </c>
      <c r="O470" s="1482"/>
      <c r="P470" s="1482"/>
      <c r="Q470" s="1498"/>
    </row>
    <row r="471" spans="1:17" s="373" customFormat="1" ht="30">
      <c r="A471" s="1631"/>
      <c r="B471" s="1624"/>
      <c r="C471" s="1759"/>
      <c r="D471" s="1628"/>
      <c r="E471" s="1628"/>
      <c r="F471" s="1739"/>
      <c r="G471" s="329" t="s">
        <v>774</v>
      </c>
      <c r="H471" s="807" t="s">
        <v>280</v>
      </c>
      <c r="I471" s="776">
        <v>1</v>
      </c>
      <c r="J471" s="776">
        <v>1150000</v>
      </c>
      <c r="K471" s="776">
        <f>J471*I471</f>
        <v>1150000</v>
      </c>
      <c r="L471" s="334">
        <v>475000</v>
      </c>
      <c r="M471" s="334">
        <v>0</v>
      </c>
      <c r="N471" s="375">
        <v>675000</v>
      </c>
      <c r="O471" s="1482"/>
      <c r="P471" s="1482"/>
      <c r="Q471" s="1498"/>
    </row>
    <row r="472" spans="1:17" s="373" customFormat="1" ht="30">
      <c r="A472" s="1631"/>
      <c r="B472" s="1624"/>
      <c r="C472" s="1759"/>
      <c r="D472" s="1628"/>
      <c r="E472" s="1628"/>
      <c r="F472" s="805" t="s">
        <v>320</v>
      </c>
      <c r="G472" s="396" t="s">
        <v>564</v>
      </c>
      <c r="H472" s="389" t="s">
        <v>160</v>
      </c>
      <c r="I472" s="389">
        <v>30000</v>
      </c>
      <c r="J472" s="389">
        <f>'preturi unitare'!J43</f>
        <v>237</v>
      </c>
      <c r="K472" s="389">
        <f>I472*J472</f>
        <v>7110000</v>
      </c>
      <c r="L472" s="334">
        <f t="shared" ref="L472:L479" si="47">K472</f>
        <v>7110000</v>
      </c>
      <c r="M472" s="334">
        <v>0</v>
      </c>
      <c r="N472" s="375">
        <v>0</v>
      </c>
      <c r="O472" s="1482"/>
      <c r="P472" s="1482"/>
      <c r="Q472" s="1498"/>
    </row>
    <row r="473" spans="1:17" s="373" customFormat="1" ht="30">
      <c r="A473" s="1631"/>
      <c r="B473" s="1624"/>
      <c r="C473" s="1759"/>
      <c r="D473" s="1628"/>
      <c r="E473" s="1628"/>
      <c r="F473" s="1739" t="s">
        <v>324</v>
      </c>
      <c r="G473" s="391" t="s">
        <v>761</v>
      </c>
      <c r="H473" s="389" t="s">
        <v>280</v>
      </c>
      <c r="I473" s="389">
        <v>1</v>
      </c>
      <c r="J473" s="389">
        <v>110000</v>
      </c>
      <c r="K473" s="389">
        <f>I473*J473</f>
        <v>110000</v>
      </c>
      <c r="L473" s="334">
        <f t="shared" si="47"/>
        <v>110000</v>
      </c>
      <c r="M473" s="334">
        <v>0</v>
      </c>
      <c r="N473" s="375">
        <v>0</v>
      </c>
      <c r="O473" s="1482"/>
      <c r="P473" s="1482"/>
      <c r="Q473" s="1498"/>
    </row>
    <row r="474" spans="1:17" s="373" customFormat="1" ht="30">
      <c r="A474" s="1631"/>
      <c r="B474" s="1624"/>
      <c r="C474" s="1759"/>
      <c r="D474" s="1628"/>
      <c r="E474" s="1628"/>
      <c r="F474" s="1739"/>
      <c r="G474" s="391" t="s">
        <v>762</v>
      </c>
      <c r="H474" s="389" t="s">
        <v>280</v>
      </c>
      <c r="I474" s="389">
        <v>1</v>
      </c>
      <c r="J474" s="389">
        <f>J473</f>
        <v>110000</v>
      </c>
      <c r="K474" s="389">
        <f>I474*J474</f>
        <v>110000</v>
      </c>
      <c r="L474" s="334">
        <f t="shared" si="47"/>
        <v>110000</v>
      </c>
      <c r="M474" s="334">
        <v>0</v>
      </c>
      <c r="N474" s="375">
        <v>0</v>
      </c>
      <c r="O474" s="1482"/>
      <c r="P474" s="1482"/>
      <c r="Q474" s="1498"/>
    </row>
    <row r="475" spans="1:17" s="373" customFormat="1" ht="30">
      <c r="A475" s="1631"/>
      <c r="B475" s="1624"/>
      <c r="C475" s="1759"/>
      <c r="D475" s="1628"/>
      <c r="E475" s="1628"/>
      <c r="F475" s="1739"/>
      <c r="G475" s="391" t="s">
        <v>829</v>
      </c>
      <c r="H475" s="389" t="s">
        <v>280</v>
      </c>
      <c r="I475" s="389">
        <v>1</v>
      </c>
      <c r="J475" s="389">
        <f>J474</f>
        <v>110000</v>
      </c>
      <c r="K475" s="389">
        <f>J475</f>
        <v>110000</v>
      </c>
      <c r="L475" s="334">
        <f t="shared" si="47"/>
        <v>110000</v>
      </c>
      <c r="M475" s="334">
        <v>0</v>
      </c>
      <c r="N475" s="375">
        <v>0</v>
      </c>
      <c r="O475" s="1482"/>
      <c r="P475" s="1482"/>
      <c r="Q475" s="1498"/>
    </row>
    <row r="476" spans="1:17" s="373" customFormat="1" ht="30">
      <c r="A476" s="1631"/>
      <c r="B476" s="1624"/>
      <c r="C476" s="1759"/>
      <c r="D476" s="1628"/>
      <c r="E476" s="1628"/>
      <c r="F476" s="1739"/>
      <c r="G476" s="329" t="s">
        <v>554</v>
      </c>
      <c r="H476" s="807" t="s">
        <v>280</v>
      </c>
      <c r="I476" s="776">
        <v>1</v>
      </c>
      <c r="J476" s="776">
        <f>J473</f>
        <v>110000</v>
      </c>
      <c r="K476" s="776">
        <f>I476*J476</f>
        <v>110000</v>
      </c>
      <c r="L476" s="334">
        <f t="shared" si="47"/>
        <v>110000</v>
      </c>
      <c r="M476" s="334">
        <v>0</v>
      </c>
      <c r="N476" s="376">
        <v>0</v>
      </c>
      <c r="O476" s="1482"/>
      <c r="P476" s="1482"/>
      <c r="Q476" s="1498"/>
    </row>
    <row r="477" spans="1:17" s="373" customFormat="1" ht="30">
      <c r="A477" s="1631"/>
      <c r="B477" s="1624"/>
      <c r="C477" s="1759"/>
      <c r="D477" s="1628"/>
      <c r="E477" s="1628"/>
      <c r="F477" s="1603" t="s">
        <v>322</v>
      </c>
      <c r="G477" s="362" t="s">
        <v>616</v>
      </c>
      <c r="H477" s="807" t="s">
        <v>160</v>
      </c>
      <c r="I477" s="776">
        <v>2000</v>
      </c>
      <c r="J477" s="776">
        <f>'preturi unitare'!H22</f>
        <v>64</v>
      </c>
      <c r="K477" s="776">
        <f>I477*J477</f>
        <v>128000</v>
      </c>
      <c r="L477" s="334">
        <f t="shared" si="47"/>
        <v>128000</v>
      </c>
      <c r="M477" s="334">
        <v>0</v>
      </c>
      <c r="N477" s="376">
        <v>0</v>
      </c>
      <c r="O477" s="1482"/>
      <c r="P477" s="1482"/>
      <c r="Q477" s="1498"/>
    </row>
    <row r="478" spans="1:17" s="373" customFormat="1" ht="30">
      <c r="A478" s="1631"/>
      <c r="B478" s="1624"/>
      <c r="C478" s="1759"/>
      <c r="D478" s="1628"/>
      <c r="E478" s="1628"/>
      <c r="F478" s="1604"/>
      <c r="G478" s="362" t="s">
        <v>830</v>
      </c>
      <c r="H478" s="807" t="s">
        <v>160</v>
      </c>
      <c r="I478" s="776">
        <v>500</v>
      </c>
      <c r="J478" s="776">
        <f>J485</f>
        <v>64</v>
      </c>
      <c r="K478" s="776">
        <f>I478*J478</f>
        <v>32000</v>
      </c>
      <c r="L478" s="334">
        <f t="shared" si="47"/>
        <v>32000</v>
      </c>
      <c r="M478" s="334">
        <v>0</v>
      </c>
      <c r="N478" s="376">
        <v>0</v>
      </c>
      <c r="O478" s="1482"/>
      <c r="P478" s="1482"/>
      <c r="Q478" s="1498"/>
    </row>
    <row r="479" spans="1:17" s="373" customFormat="1" ht="30">
      <c r="A479" s="1631"/>
      <c r="B479" s="1624"/>
      <c r="C479" s="1759"/>
      <c r="D479" s="1628"/>
      <c r="E479" s="1628"/>
      <c r="F479" s="1604"/>
      <c r="G479" s="362" t="s">
        <v>558</v>
      </c>
      <c r="H479" s="807" t="s">
        <v>160</v>
      </c>
      <c r="I479" s="776">
        <v>800</v>
      </c>
      <c r="J479" s="776">
        <f>J478</f>
        <v>64</v>
      </c>
      <c r="K479" s="776">
        <f>I479*J479</f>
        <v>51200</v>
      </c>
      <c r="L479" s="334">
        <f t="shared" si="47"/>
        <v>51200</v>
      </c>
      <c r="M479" s="334">
        <v>0</v>
      </c>
      <c r="N479" s="376">
        <v>0</v>
      </c>
      <c r="O479" s="1482"/>
      <c r="P479" s="1482"/>
      <c r="Q479" s="1498"/>
    </row>
    <row r="480" spans="1:17" s="373" customFormat="1" ht="30">
      <c r="A480" s="1631"/>
      <c r="B480" s="1624"/>
      <c r="C480" s="1759"/>
      <c r="D480" s="1628"/>
      <c r="E480" s="1628"/>
      <c r="F480" s="1604"/>
      <c r="G480" s="329" t="s">
        <v>1231</v>
      </c>
      <c r="H480" s="807" t="s">
        <v>160</v>
      </c>
      <c r="I480" s="776">
        <v>17000</v>
      </c>
      <c r="J480" s="776">
        <f>'preturi unitare'!H23</f>
        <v>68</v>
      </c>
      <c r="K480" s="776">
        <f>I480*J480</f>
        <v>1156000</v>
      </c>
      <c r="L480" s="334">
        <f>9000*J480</f>
        <v>612000</v>
      </c>
      <c r="M480" s="334">
        <v>0</v>
      </c>
      <c r="N480" s="376">
        <f>8000*J480</f>
        <v>544000</v>
      </c>
      <c r="O480" s="1482"/>
      <c r="P480" s="1482"/>
      <c r="Q480" s="1498"/>
    </row>
    <row r="481" spans="1:19" s="373" customFormat="1" ht="30">
      <c r="A481" s="1631"/>
      <c r="B481" s="1624"/>
      <c r="C481" s="1759"/>
      <c r="D481" s="1628"/>
      <c r="E481" s="1628"/>
      <c r="F481" s="1604"/>
      <c r="G481" s="362" t="s">
        <v>775</v>
      </c>
      <c r="H481" s="807" t="s">
        <v>160</v>
      </c>
      <c r="I481" s="776">
        <v>7800</v>
      </c>
      <c r="J481" s="776">
        <f>'preturi unitare'!H22</f>
        <v>64</v>
      </c>
      <c r="K481" s="776">
        <f>J481*I481</f>
        <v>499200</v>
      </c>
      <c r="L481" s="334">
        <f>K481</f>
        <v>499200</v>
      </c>
      <c r="M481" s="334">
        <v>0</v>
      </c>
      <c r="N481" s="376">
        <v>0</v>
      </c>
      <c r="O481" s="1482"/>
      <c r="P481" s="1482"/>
      <c r="Q481" s="1498"/>
    </row>
    <row r="482" spans="1:19" s="373" customFormat="1" ht="45.75" customHeight="1">
      <c r="A482" s="1631"/>
      <c r="B482" s="1624"/>
      <c r="C482" s="1759"/>
      <c r="D482" s="1628"/>
      <c r="E482" s="1628"/>
      <c r="F482" s="1604"/>
      <c r="G482" s="362" t="s">
        <v>2010</v>
      </c>
      <c r="H482" s="807" t="s">
        <v>160</v>
      </c>
      <c r="I482" s="776">
        <v>7100</v>
      </c>
      <c r="J482" s="776">
        <f>'preturi unitare'!J31</f>
        <v>655</v>
      </c>
      <c r="K482" s="776">
        <f t="shared" ref="K482:K487" si="48">I482*J482</f>
        <v>4650500</v>
      </c>
      <c r="L482" s="334">
        <f>K482</f>
        <v>4650500</v>
      </c>
      <c r="M482" s="334">
        <v>0</v>
      </c>
      <c r="N482" s="376">
        <v>0</v>
      </c>
      <c r="O482" s="1482"/>
      <c r="P482" s="1482"/>
      <c r="Q482" s="1498"/>
    </row>
    <row r="483" spans="1:19" s="373" customFormat="1" ht="30">
      <c r="A483" s="1631"/>
      <c r="B483" s="1624"/>
      <c r="C483" s="1759"/>
      <c r="D483" s="1628"/>
      <c r="E483" s="1628"/>
      <c r="F483" s="1604"/>
      <c r="G483" s="362" t="s">
        <v>1232</v>
      </c>
      <c r="H483" s="807" t="s">
        <v>160</v>
      </c>
      <c r="I483" s="776">
        <v>35000</v>
      </c>
      <c r="J483" s="776">
        <f>'preturi unitare'!J23</f>
        <v>75</v>
      </c>
      <c r="K483" s="776">
        <f t="shared" si="48"/>
        <v>2625000</v>
      </c>
      <c r="L483" s="334">
        <f>15000*J483</f>
        <v>1125000</v>
      </c>
      <c r="M483" s="334">
        <v>0</v>
      </c>
      <c r="N483" s="376">
        <f>20000*J483</f>
        <v>1500000</v>
      </c>
      <c r="O483" s="1482"/>
      <c r="P483" s="1482"/>
      <c r="Q483" s="1498"/>
    </row>
    <row r="484" spans="1:19" s="373" customFormat="1" ht="30">
      <c r="A484" s="1631"/>
      <c r="B484" s="1624"/>
      <c r="C484" s="1759"/>
      <c r="D484" s="1628"/>
      <c r="E484" s="1628"/>
      <c r="F484" s="1604"/>
      <c r="G484" s="362" t="s">
        <v>553</v>
      </c>
      <c r="H484" s="807" t="s">
        <v>160</v>
      </c>
      <c r="I484" s="776">
        <v>3100</v>
      </c>
      <c r="J484" s="776">
        <f>'preturi unitare'!H33</f>
        <v>60</v>
      </c>
      <c r="K484" s="776">
        <f t="shared" si="48"/>
        <v>186000</v>
      </c>
      <c r="L484" s="334">
        <f t="shared" ref="L484:L491" si="49">K484</f>
        <v>186000</v>
      </c>
      <c r="M484" s="334">
        <v>0</v>
      </c>
      <c r="N484" s="376">
        <v>0</v>
      </c>
      <c r="O484" s="1482"/>
      <c r="P484" s="1482"/>
      <c r="Q484" s="1498"/>
    </row>
    <row r="485" spans="1:19" s="373" customFormat="1" ht="30">
      <c r="A485" s="1631"/>
      <c r="B485" s="1624"/>
      <c r="C485" s="1759"/>
      <c r="D485" s="1628"/>
      <c r="E485" s="1628"/>
      <c r="F485" s="1604"/>
      <c r="G485" s="362" t="s">
        <v>555</v>
      </c>
      <c r="H485" s="807" t="s">
        <v>160</v>
      </c>
      <c r="I485" s="776">
        <v>3500</v>
      </c>
      <c r="J485" s="776">
        <f>'preturi unitare'!H22</f>
        <v>64</v>
      </c>
      <c r="K485" s="776">
        <f t="shared" si="48"/>
        <v>224000</v>
      </c>
      <c r="L485" s="334">
        <f t="shared" si="49"/>
        <v>224000</v>
      </c>
      <c r="M485" s="334">
        <v>0</v>
      </c>
      <c r="N485" s="376">
        <v>0</v>
      </c>
      <c r="O485" s="1482"/>
      <c r="P485" s="1482"/>
      <c r="Q485" s="1498"/>
    </row>
    <row r="486" spans="1:19" s="373" customFormat="1" ht="30">
      <c r="A486" s="1631"/>
      <c r="B486" s="1624"/>
      <c r="C486" s="1759"/>
      <c r="D486" s="1628"/>
      <c r="E486" s="1628"/>
      <c r="F486" s="1604"/>
      <c r="G486" s="362" t="s">
        <v>556</v>
      </c>
      <c r="H486" s="807" t="s">
        <v>160</v>
      </c>
      <c r="I486" s="776">
        <v>1500</v>
      </c>
      <c r="J486" s="776">
        <f>'preturi unitare'!I33</f>
        <v>66</v>
      </c>
      <c r="K486" s="776">
        <f t="shared" si="48"/>
        <v>99000</v>
      </c>
      <c r="L486" s="334">
        <f t="shared" si="49"/>
        <v>99000</v>
      </c>
      <c r="M486" s="334">
        <v>0</v>
      </c>
      <c r="N486" s="376">
        <v>0</v>
      </c>
      <c r="O486" s="1482"/>
      <c r="P486" s="1482"/>
      <c r="Q486" s="1498"/>
    </row>
    <row r="487" spans="1:19" s="373" customFormat="1" ht="30">
      <c r="A487" s="1631"/>
      <c r="B487" s="1624"/>
      <c r="C487" s="1759"/>
      <c r="D487" s="1628"/>
      <c r="E487" s="1628"/>
      <c r="F487" s="1604"/>
      <c r="G487" s="362" t="s">
        <v>2011</v>
      </c>
      <c r="H487" s="807" t="s">
        <v>160</v>
      </c>
      <c r="I487" s="776">
        <v>2000</v>
      </c>
      <c r="J487" s="776">
        <f>J485</f>
        <v>64</v>
      </c>
      <c r="K487" s="776">
        <f t="shared" si="48"/>
        <v>128000</v>
      </c>
      <c r="L487" s="334">
        <f t="shared" si="49"/>
        <v>128000</v>
      </c>
      <c r="M487" s="334">
        <v>0</v>
      </c>
      <c r="N487" s="376">
        <v>0</v>
      </c>
      <c r="O487" s="1482"/>
      <c r="P487" s="1482"/>
      <c r="Q487" s="1498"/>
    </row>
    <row r="488" spans="1:19" s="373" customFormat="1" ht="30">
      <c r="A488" s="1631"/>
      <c r="B488" s="1624"/>
      <c r="C488" s="1759"/>
      <c r="D488" s="1628"/>
      <c r="E488" s="1628"/>
      <c r="F488" s="1605"/>
      <c r="G488" s="362" t="s">
        <v>2023</v>
      </c>
      <c r="H488" s="807" t="s">
        <v>160</v>
      </c>
      <c r="I488" s="1203">
        <v>2000</v>
      </c>
      <c r="J488" s="1203">
        <f>J487</f>
        <v>64</v>
      </c>
      <c r="K488" s="1203">
        <f>I488*J488</f>
        <v>128000</v>
      </c>
      <c r="L488" s="334">
        <f t="shared" si="49"/>
        <v>128000</v>
      </c>
      <c r="M488" s="334">
        <v>0</v>
      </c>
      <c r="N488" s="376">
        <v>0</v>
      </c>
      <c r="O488" s="1482"/>
      <c r="P488" s="1482"/>
      <c r="Q488" s="1498"/>
    </row>
    <row r="489" spans="1:19" s="373" customFormat="1" ht="62.25">
      <c r="A489" s="1631"/>
      <c r="B489" s="1624"/>
      <c r="C489" s="1759"/>
      <c r="D489" s="1628"/>
      <c r="E489" s="1628"/>
      <c r="F489" s="1739" t="s">
        <v>279</v>
      </c>
      <c r="G489" s="329" t="s">
        <v>614</v>
      </c>
      <c r="H489" s="653" t="s">
        <v>280</v>
      </c>
      <c r="I489" s="776">
        <v>2</v>
      </c>
      <c r="J489" s="776">
        <v>150000</v>
      </c>
      <c r="K489" s="776">
        <f>J489*I489</f>
        <v>300000</v>
      </c>
      <c r="L489" s="334">
        <f t="shared" si="49"/>
        <v>300000</v>
      </c>
      <c r="M489" s="334">
        <v>0</v>
      </c>
      <c r="N489" s="376">
        <v>0</v>
      </c>
      <c r="O489" s="1482"/>
      <c r="P489" s="1482"/>
      <c r="Q489" s="1498"/>
    </row>
    <row r="490" spans="1:19" s="373" customFormat="1" ht="62.25">
      <c r="A490" s="1631"/>
      <c r="B490" s="1624"/>
      <c r="C490" s="1759"/>
      <c r="D490" s="1628"/>
      <c r="E490" s="1628"/>
      <c r="F490" s="1739"/>
      <c r="G490" s="329" t="s">
        <v>559</v>
      </c>
      <c r="H490" s="653" t="s">
        <v>280</v>
      </c>
      <c r="I490" s="776">
        <v>1</v>
      </c>
      <c r="J490" s="776">
        <v>100000</v>
      </c>
      <c r="K490" s="776">
        <f>J490*I490</f>
        <v>100000</v>
      </c>
      <c r="L490" s="334">
        <f t="shared" si="49"/>
        <v>100000</v>
      </c>
      <c r="M490" s="334">
        <v>0</v>
      </c>
      <c r="N490" s="376">
        <v>0</v>
      </c>
      <c r="O490" s="1482"/>
      <c r="P490" s="1482"/>
      <c r="Q490" s="1498"/>
    </row>
    <row r="491" spans="1:19" s="373" customFormat="1" ht="68.25" customHeight="1">
      <c r="A491" s="1631"/>
      <c r="B491" s="1624"/>
      <c r="C491" s="1759"/>
      <c r="D491" s="1628"/>
      <c r="E491" s="1628"/>
      <c r="F491" s="1739"/>
      <c r="G491" s="329" t="s">
        <v>615</v>
      </c>
      <c r="H491" s="653" t="s">
        <v>280</v>
      </c>
      <c r="I491" s="776">
        <v>2</v>
      </c>
      <c r="J491" s="776">
        <v>100000</v>
      </c>
      <c r="K491" s="776">
        <f>J491*I491</f>
        <v>200000</v>
      </c>
      <c r="L491" s="334">
        <f t="shared" si="49"/>
        <v>200000</v>
      </c>
      <c r="M491" s="334">
        <v>0</v>
      </c>
      <c r="N491" s="376">
        <v>0</v>
      </c>
      <c r="O491" s="1482"/>
      <c r="P491" s="1482"/>
      <c r="Q491" s="1498"/>
    </row>
    <row r="492" spans="1:19" s="373" customFormat="1" ht="62.25">
      <c r="A492" s="1631"/>
      <c r="B492" s="1624"/>
      <c r="C492" s="1759"/>
      <c r="D492" s="1628"/>
      <c r="E492" s="1628"/>
      <c r="F492" s="1739"/>
      <c r="G492" s="329" t="s">
        <v>560</v>
      </c>
      <c r="H492" s="653" t="s">
        <v>280</v>
      </c>
      <c r="I492" s="776">
        <v>2</v>
      </c>
      <c r="J492" s="776">
        <f>'preturi unitare'!E25</f>
        <v>45000</v>
      </c>
      <c r="K492" s="776">
        <f>I492*J492</f>
        <v>90000</v>
      </c>
      <c r="L492" s="334">
        <f>K492</f>
        <v>90000</v>
      </c>
      <c r="M492" s="334">
        <v>0</v>
      </c>
      <c r="N492" s="376">
        <v>0</v>
      </c>
      <c r="O492" s="1482"/>
      <c r="P492" s="1482"/>
      <c r="Q492" s="1498"/>
    </row>
    <row r="493" spans="1:19" s="373" customFormat="1" ht="62.25">
      <c r="A493" s="1631"/>
      <c r="B493" s="1624"/>
      <c r="C493" s="1759"/>
      <c r="D493" s="1628"/>
      <c r="E493" s="1628"/>
      <c r="F493" s="1739"/>
      <c r="G493" s="329" t="s">
        <v>561</v>
      </c>
      <c r="H493" s="653" t="s">
        <v>280</v>
      </c>
      <c r="I493" s="776">
        <v>1</v>
      </c>
      <c r="J493" s="776">
        <f>'preturi unitare'!E28</f>
        <v>68000</v>
      </c>
      <c r="K493" s="776">
        <f>I493*J493</f>
        <v>68000</v>
      </c>
      <c r="L493" s="334">
        <f>K493</f>
        <v>68000</v>
      </c>
      <c r="M493" s="334">
        <v>0</v>
      </c>
      <c r="N493" s="376">
        <v>0</v>
      </c>
      <c r="O493" s="1482"/>
      <c r="P493" s="1482"/>
      <c r="Q493" s="1498"/>
    </row>
    <row r="494" spans="1:19" s="373" customFormat="1" ht="32.25">
      <c r="A494" s="1632"/>
      <c r="B494" s="1624"/>
      <c r="C494" s="1623"/>
      <c r="D494" s="1607"/>
      <c r="E494" s="1607"/>
      <c r="F494" s="1739"/>
      <c r="G494" s="329" t="s">
        <v>2062</v>
      </c>
      <c r="H494" s="653" t="s">
        <v>280</v>
      </c>
      <c r="I494" s="776">
        <v>1</v>
      </c>
      <c r="J494" s="776">
        <f>'preturi unitare'!E23</f>
        <v>21500</v>
      </c>
      <c r="K494" s="776">
        <f>I494*J494</f>
        <v>21500</v>
      </c>
      <c r="L494" s="334">
        <f>K494</f>
        <v>21500</v>
      </c>
      <c r="M494" s="334">
        <v>0</v>
      </c>
      <c r="N494" s="376">
        <v>0</v>
      </c>
      <c r="O494" s="1482"/>
      <c r="P494" s="1482"/>
      <c r="Q494" s="1499"/>
    </row>
    <row r="495" spans="1:19" s="373" customFormat="1">
      <c r="A495" s="885"/>
      <c r="B495" s="326"/>
      <c r="C495" s="326"/>
      <c r="D495" s="326"/>
      <c r="E495" s="326"/>
      <c r="F495" s="326"/>
      <c r="G495" s="326"/>
      <c r="H495" s="326"/>
      <c r="I495" s="777"/>
      <c r="J495" s="777"/>
      <c r="K495" s="777"/>
      <c r="L495" s="333"/>
      <c r="M495" s="333"/>
      <c r="N495" s="326"/>
      <c r="O495" s="806"/>
      <c r="P495" s="806"/>
      <c r="Q495" s="584"/>
    </row>
    <row r="496" spans="1:19" s="373" customFormat="1">
      <c r="A496" s="1733" t="s">
        <v>443</v>
      </c>
      <c r="B496" s="1734"/>
      <c r="C496" s="1734"/>
      <c r="D496" s="1734"/>
      <c r="E496" s="1734"/>
      <c r="F496" s="1734"/>
      <c r="G496" s="1735"/>
      <c r="H496" s="571"/>
      <c r="I496" s="572"/>
      <c r="J496" s="572"/>
      <c r="K496" s="573">
        <f>SUM(K467:K494)</f>
        <v>20846400</v>
      </c>
      <c r="L496" s="574">
        <f>SUM(L467:L494)</f>
        <v>18127400</v>
      </c>
      <c r="M496" s="574">
        <f>SUM(M467:M494)</f>
        <v>0</v>
      </c>
      <c r="N496" s="573">
        <f>SUM(N467:N494)</f>
        <v>2719000</v>
      </c>
      <c r="O496" s="415"/>
      <c r="P496" s="415"/>
      <c r="Q496" s="895"/>
      <c r="S496" s="374"/>
    </row>
    <row r="497" spans="1:17" s="373" customFormat="1" ht="15.75" thickBot="1">
      <c r="A497" s="884"/>
      <c r="B497" s="887"/>
      <c r="C497" s="887"/>
      <c r="D497" s="887"/>
      <c r="E497" s="887"/>
      <c r="F497" s="888"/>
      <c r="G497" s="417"/>
      <c r="H497" s="770"/>
      <c r="I497" s="770"/>
      <c r="J497" s="770"/>
      <c r="K497" s="770"/>
      <c r="L497" s="889"/>
      <c r="M497" s="889"/>
      <c r="N497" s="418"/>
      <c r="O497" s="419"/>
      <c r="P497" s="419"/>
      <c r="Q497" s="862"/>
    </row>
    <row r="498" spans="1:17" s="373" customFormat="1" ht="60" customHeight="1">
      <c r="A498" s="1608" t="s">
        <v>1472</v>
      </c>
      <c r="B498" s="1544" t="s">
        <v>617</v>
      </c>
      <c r="C498" s="1538" t="s">
        <v>610</v>
      </c>
      <c r="D498" s="1538" t="s">
        <v>611</v>
      </c>
      <c r="E498" s="1538" t="s">
        <v>1453</v>
      </c>
      <c r="F498" s="1472" t="s">
        <v>159</v>
      </c>
      <c r="G498" s="1509" t="s">
        <v>110</v>
      </c>
      <c r="H498" s="1477" t="s">
        <v>316</v>
      </c>
      <c r="I498" s="1472" t="s">
        <v>315</v>
      </c>
      <c r="J498" s="1472" t="s">
        <v>317</v>
      </c>
      <c r="K498" s="1472" t="s">
        <v>318</v>
      </c>
      <c r="L498" s="569" t="s">
        <v>1443</v>
      </c>
      <c r="M498" s="569" t="s">
        <v>1444</v>
      </c>
      <c r="N498" s="752" t="s">
        <v>1445</v>
      </c>
      <c r="O498" s="1477" t="s">
        <v>1673</v>
      </c>
      <c r="P498" s="1477" t="s">
        <v>1307</v>
      </c>
      <c r="Q498" s="1495" t="s">
        <v>1454</v>
      </c>
    </row>
    <row r="499" spans="1:17" s="373" customFormat="1" ht="15.75" thickBot="1">
      <c r="A499" s="1609"/>
      <c r="B499" s="1545"/>
      <c r="C499" s="1539"/>
      <c r="D499" s="1539"/>
      <c r="E499" s="1539"/>
      <c r="F499" s="1473"/>
      <c r="G499" s="1510"/>
      <c r="H499" s="1478"/>
      <c r="I499" s="1473"/>
      <c r="J499" s="1473"/>
      <c r="K499" s="1473"/>
      <c r="L499" s="570" t="s">
        <v>805</v>
      </c>
      <c r="M499" s="570" t="s">
        <v>805</v>
      </c>
      <c r="N499" s="753" t="s">
        <v>1149</v>
      </c>
      <c r="O499" s="1478"/>
      <c r="P499" s="1478"/>
      <c r="Q499" s="1496"/>
    </row>
    <row r="500" spans="1:17" s="373" customFormat="1" ht="15" hidden="1" customHeight="1">
      <c r="A500" s="896"/>
      <c r="B500" s="1487" t="s">
        <v>618</v>
      </c>
      <c r="C500" s="1487" t="s">
        <v>1473</v>
      </c>
      <c r="D500" s="1607">
        <f>D467</f>
        <v>78042</v>
      </c>
      <c r="E500" s="758"/>
      <c r="F500" s="1468" t="s">
        <v>323</v>
      </c>
      <c r="G500" s="423"/>
      <c r="H500" s="414"/>
      <c r="I500" s="756"/>
      <c r="J500" s="756"/>
      <c r="K500" s="756"/>
      <c r="L500" s="411"/>
      <c r="M500" s="411"/>
      <c r="N500" s="429"/>
      <c r="O500" s="1579">
        <f>SUM(L500:L521)</f>
        <v>7891500</v>
      </c>
      <c r="P500" s="1465">
        <f>O500/E501</f>
        <v>84.265523692370778</v>
      </c>
      <c r="Q500" s="861"/>
    </row>
    <row r="501" spans="1:17" s="373" customFormat="1">
      <c r="A501" s="1749" t="s">
        <v>612</v>
      </c>
      <c r="B501" s="1488"/>
      <c r="C501" s="1488"/>
      <c r="D501" s="1602"/>
      <c r="E501" s="1606">
        <f>1.2*D500</f>
        <v>93650.4</v>
      </c>
      <c r="F501" s="1600"/>
      <c r="G501" s="362" t="s">
        <v>1233</v>
      </c>
      <c r="H501" s="807" t="s">
        <v>280</v>
      </c>
      <c r="I501" s="776">
        <v>1</v>
      </c>
      <c r="J501" s="776">
        <v>350000</v>
      </c>
      <c r="K501" s="776">
        <f>I501*J501</f>
        <v>350000</v>
      </c>
      <c r="L501" s="334">
        <f>K501</f>
        <v>350000</v>
      </c>
      <c r="M501" s="334">
        <v>0</v>
      </c>
      <c r="N501" s="388">
        <v>0</v>
      </c>
      <c r="O501" s="1482"/>
      <c r="P501" s="1482"/>
      <c r="Q501" s="1500" t="s">
        <v>1621</v>
      </c>
    </row>
    <row r="502" spans="1:17" s="373" customFormat="1">
      <c r="A502" s="1631"/>
      <c r="B502" s="1488"/>
      <c r="C502" s="1488"/>
      <c r="D502" s="1602"/>
      <c r="E502" s="1628"/>
      <c r="F502" s="1600"/>
      <c r="G502" s="362" t="s">
        <v>1234</v>
      </c>
      <c r="H502" s="807" t="s">
        <v>280</v>
      </c>
      <c r="I502" s="776">
        <v>2</v>
      </c>
      <c r="J502" s="776">
        <v>300000</v>
      </c>
      <c r="K502" s="776">
        <f t="shared" ref="K502:K521" si="50">I502*J502</f>
        <v>600000</v>
      </c>
      <c r="L502" s="334">
        <f>K502</f>
        <v>600000</v>
      </c>
      <c r="M502" s="334">
        <v>0</v>
      </c>
      <c r="N502" s="388">
        <v>0</v>
      </c>
      <c r="O502" s="1482"/>
      <c r="P502" s="1482"/>
      <c r="Q502" s="1498"/>
    </row>
    <row r="503" spans="1:17" s="373" customFormat="1" ht="30">
      <c r="A503" s="1631"/>
      <c r="B503" s="1488"/>
      <c r="C503" s="1488"/>
      <c r="D503" s="1602"/>
      <c r="E503" s="1628"/>
      <c r="F503" s="1600"/>
      <c r="G503" s="362" t="s">
        <v>1975</v>
      </c>
      <c r="H503" s="807" t="s">
        <v>280</v>
      </c>
      <c r="I503" s="776">
        <v>1</v>
      </c>
      <c r="J503" s="776">
        <v>750000</v>
      </c>
      <c r="K503" s="776">
        <f t="shared" si="50"/>
        <v>750000</v>
      </c>
      <c r="L503" s="334">
        <f>K503</f>
        <v>750000</v>
      </c>
      <c r="M503" s="334">
        <v>0</v>
      </c>
      <c r="N503" s="388">
        <v>0</v>
      </c>
      <c r="O503" s="1482"/>
      <c r="P503" s="1482"/>
      <c r="Q503" s="1498"/>
    </row>
    <row r="504" spans="1:17" s="373" customFormat="1" ht="30">
      <c r="A504" s="1631"/>
      <c r="B504" s="1488"/>
      <c r="C504" s="1488"/>
      <c r="D504" s="1602"/>
      <c r="E504" s="1628"/>
      <c r="F504" s="1600"/>
      <c r="G504" s="362" t="s">
        <v>831</v>
      </c>
      <c r="H504" s="807" t="s">
        <v>280</v>
      </c>
      <c r="I504" s="776">
        <v>1</v>
      </c>
      <c r="J504" s="776">
        <v>2000000</v>
      </c>
      <c r="K504" s="776">
        <f t="shared" si="50"/>
        <v>2000000</v>
      </c>
      <c r="L504" s="334">
        <v>800000</v>
      </c>
      <c r="M504" s="334">
        <v>0</v>
      </c>
      <c r="N504" s="388">
        <v>1200000</v>
      </c>
      <c r="O504" s="1482"/>
      <c r="P504" s="1482"/>
      <c r="Q504" s="1498"/>
    </row>
    <row r="505" spans="1:17" s="373" customFormat="1" ht="45">
      <c r="A505" s="1631"/>
      <c r="B505" s="1488"/>
      <c r="C505" s="1488"/>
      <c r="D505" s="1602"/>
      <c r="E505" s="1628"/>
      <c r="F505" s="1600"/>
      <c r="G505" s="362" t="s">
        <v>776</v>
      </c>
      <c r="H505" s="807" t="s">
        <v>280</v>
      </c>
      <c r="I505" s="776">
        <v>20</v>
      </c>
      <c r="J505" s="776">
        <v>120000</v>
      </c>
      <c r="K505" s="776">
        <f t="shared" si="50"/>
        <v>2400000</v>
      </c>
      <c r="L505" s="334">
        <v>0</v>
      </c>
      <c r="M505" s="334">
        <v>0</v>
      </c>
      <c r="N505" s="388">
        <f>K505</f>
        <v>2400000</v>
      </c>
      <c r="O505" s="1482"/>
      <c r="P505" s="1482"/>
      <c r="Q505" s="1498"/>
    </row>
    <row r="506" spans="1:17" s="373" customFormat="1" ht="30">
      <c r="A506" s="1631"/>
      <c r="B506" s="1488"/>
      <c r="C506" s="1488"/>
      <c r="D506" s="1602"/>
      <c r="E506" s="1628"/>
      <c r="F506" s="1600"/>
      <c r="G506" s="362" t="s">
        <v>1237</v>
      </c>
      <c r="H506" s="807" t="s">
        <v>280</v>
      </c>
      <c r="I506" s="776">
        <v>1</v>
      </c>
      <c r="J506" s="776">
        <f>'preturi unitare'!O29</f>
        <v>165500</v>
      </c>
      <c r="K506" s="776">
        <f t="shared" si="50"/>
        <v>165500</v>
      </c>
      <c r="L506" s="334">
        <f>K506</f>
        <v>165500</v>
      </c>
      <c r="M506" s="334">
        <v>0</v>
      </c>
      <c r="N506" s="388">
        <v>0</v>
      </c>
      <c r="O506" s="1482"/>
      <c r="P506" s="1482"/>
      <c r="Q506" s="1498"/>
    </row>
    <row r="507" spans="1:17" s="373" customFormat="1" ht="30">
      <c r="A507" s="1631"/>
      <c r="B507" s="1488"/>
      <c r="C507" s="1488"/>
      <c r="D507" s="1602"/>
      <c r="E507" s="1628"/>
      <c r="F507" s="1600" t="s">
        <v>324</v>
      </c>
      <c r="G507" s="362" t="s">
        <v>832</v>
      </c>
      <c r="H507" s="807" t="s">
        <v>280</v>
      </c>
      <c r="I507" s="776">
        <v>1</v>
      </c>
      <c r="J507" s="776">
        <f>'preturi unitare'!B32</f>
        <v>67000</v>
      </c>
      <c r="K507" s="776">
        <f t="shared" si="50"/>
        <v>67000</v>
      </c>
      <c r="L507" s="334">
        <f t="shared" ref="L507:L515" si="51">K507</f>
        <v>67000</v>
      </c>
      <c r="M507" s="334">
        <v>0</v>
      </c>
      <c r="N507" s="388">
        <v>0</v>
      </c>
      <c r="O507" s="1482"/>
      <c r="P507" s="1482"/>
      <c r="Q507" s="1498"/>
    </row>
    <row r="508" spans="1:17" s="373" customFormat="1" ht="30">
      <c r="A508" s="1631"/>
      <c r="B508" s="1488"/>
      <c r="C508" s="1488"/>
      <c r="D508" s="1602"/>
      <c r="E508" s="1628"/>
      <c r="F508" s="1600"/>
      <c r="G508" s="362" t="s">
        <v>833</v>
      </c>
      <c r="H508" s="807" t="s">
        <v>280</v>
      </c>
      <c r="I508" s="776">
        <v>1</v>
      </c>
      <c r="J508" s="776">
        <f>J507</f>
        <v>67000</v>
      </c>
      <c r="K508" s="776">
        <f t="shared" si="50"/>
        <v>67000</v>
      </c>
      <c r="L508" s="334">
        <f t="shared" si="51"/>
        <v>67000</v>
      </c>
      <c r="M508" s="334">
        <v>0</v>
      </c>
      <c r="N508" s="388">
        <v>0</v>
      </c>
      <c r="O508" s="1482"/>
      <c r="P508" s="1482"/>
      <c r="Q508" s="1498"/>
    </row>
    <row r="509" spans="1:17" s="373" customFormat="1" ht="30">
      <c r="A509" s="1631"/>
      <c r="B509" s="1488"/>
      <c r="C509" s="1488"/>
      <c r="D509" s="1602"/>
      <c r="E509" s="1628"/>
      <c r="F509" s="1600"/>
      <c r="G509" s="362" t="s">
        <v>1182</v>
      </c>
      <c r="H509" s="807" t="s">
        <v>280</v>
      </c>
      <c r="I509" s="776">
        <v>1</v>
      </c>
      <c r="J509" s="776">
        <f>'preturi unitare'!B32</f>
        <v>67000</v>
      </c>
      <c r="K509" s="776">
        <f t="shared" si="50"/>
        <v>67000</v>
      </c>
      <c r="L509" s="334">
        <f t="shared" si="51"/>
        <v>67000</v>
      </c>
      <c r="M509" s="334">
        <v>0</v>
      </c>
      <c r="N509" s="388">
        <v>0</v>
      </c>
      <c r="O509" s="1482"/>
      <c r="P509" s="1482"/>
      <c r="Q509" s="1498"/>
    </row>
    <row r="510" spans="1:17" s="373" customFormat="1" ht="30">
      <c r="A510" s="1631"/>
      <c r="B510" s="1488"/>
      <c r="C510" s="1488"/>
      <c r="D510" s="1602"/>
      <c r="E510" s="1628"/>
      <c r="F510" s="1600"/>
      <c r="G510" s="362" t="s">
        <v>1183</v>
      </c>
      <c r="H510" s="807" t="s">
        <v>280</v>
      </c>
      <c r="I510" s="776">
        <v>2</v>
      </c>
      <c r="J510" s="776">
        <f>'preturi unitare'!B32</f>
        <v>67000</v>
      </c>
      <c r="K510" s="776">
        <f t="shared" si="50"/>
        <v>134000</v>
      </c>
      <c r="L510" s="334">
        <f t="shared" si="51"/>
        <v>134000</v>
      </c>
      <c r="M510" s="334">
        <v>0</v>
      </c>
      <c r="N510" s="388">
        <v>0</v>
      </c>
      <c r="O510" s="1482"/>
      <c r="P510" s="1482"/>
      <c r="Q510" s="1498"/>
    </row>
    <row r="511" spans="1:17" s="373" customFormat="1" ht="30">
      <c r="A511" s="1631"/>
      <c r="B511" s="1488"/>
      <c r="C511" s="1488"/>
      <c r="D511" s="1602"/>
      <c r="E511" s="1628"/>
      <c r="F511" s="1600"/>
      <c r="G511" s="362" t="s">
        <v>838</v>
      </c>
      <c r="H511" s="807" t="s">
        <v>280</v>
      </c>
      <c r="I511" s="776">
        <v>1</v>
      </c>
      <c r="J511" s="776">
        <f>'preturi unitare'!B32</f>
        <v>67000</v>
      </c>
      <c r="K511" s="776">
        <f t="shared" si="50"/>
        <v>67000</v>
      </c>
      <c r="L511" s="334">
        <f>K511</f>
        <v>67000</v>
      </c>
      <c r="M511" s="334">
        <v>0</v>
      </c>
      <c r="N511" s="388">
        <v>0</v>
      </c>
      <c r="O511" s="1482"/>
      <c r="P511" s="1482"/>
      <c r="Q511" s="1498"/>
    </row>
    <row r="512" spans="1:17" s="373" customFormat="1" ht="30">
      <c r="A512" s="1631"/>
      <c r="B512" s="1488"/>
      <c r="C512" s="1488"/>
      <c r="D512" s="1602"/>
      <c r="E512" s="1628"/>
      <c r="F512" s="1600" t="s">
        <v>325</v>
      </c>
      <c r="G512" s="362" t="s">
        <v>552</v>
      </c>
      <c r="H512" s="807" t="s">
        <v>160</v>
      </c>
      <c r="I512" s="776">
        <v>3000</v>
      </c>
      <c r="J512" s="776">
        <f>'preturi unitare'!H41</f>
        <v>165</v>
      </c>
      <c r="K512" s="776">
        <f t="shared" si="50"/>
        <v>495000</v>
      </c>
      <c r="L512" s="334">
        <f t="shared" si="51"/>
        <v>495000</v>
      </c>
      <c r="M512" s="334">
        <v>0</v>
      </c>
      <c r="N512" s="776">
        <v>0</v>
      </c>
      <c r="O512" s="1482"/>
      <c r="P512" s="1482"/>
      <c r="Q512" s="1498"/>
    </row>
    <row r="513" spans="1:18" s="373" customFormat="1" ht="30">
      <c r="A513" s="1631"/>
      <c r="B513" s="1488"/>
      <c r="C513" s="1488"/>
      <c r="D513" s="1602"/>
      <c r="E513" s="1628"/>
      <c r="F513" s="1600"/>
      <c r="G513" s="362" t="s">
        <v>1235</v>
      </c>
      <c r="H513" s="807" t="s">
        <v>160</v>
      </c>
      <c r="I513" s="776">
        <v>1500</v>
      </c>
      <c r="J513" s="776">
        <f>'preturi unitare'!H40</f>
        <v>154</v>
      </c>
      <c r="K513" s="776">
        <f t="shared" si="50"/>
        <v>231000</v>
      </c>
      <c r="L513" s="334">
        <f t="shared" si="51"/>
        <v>231000</v>
      </c>
      <c r="M513" s="334">
        <v>0</v>
      </c>
      <c r="N513" s="776">
        <v>0</v>
      </c>
      <c r="O513" s="1482"/>
      <c r="P513" s="1482"/>
      <c r="Q513" s="1498"/>
    </row>
    <row r="514" spans="1:18" s="373" customFormat="1" ht="30">
      <c r="A514" s="1631"/>
      <c r="B514" s="1488"/>
      <c r="C514" s="1488"/>
      <c r="D514" s="1602"/>
      <c r="E514" s="1628"/>
      <c r="F514" s="1600"/>
      <c r="G514" s="362" t="s">
        <v>834</v>
      </c>
      <c r="H514" s="807" t="s">
        <v>160</v>
      </c>
      <c r="I514" s="776">
        <v>1500</v>
      </c>
      <c r="J514" s="776">
        <f>'preturi unitare'!H41</f>
        <v>165</v>
      </c>
      <c r="K514" s="776">
        <f t="shared" si="50"/>
        <v>247500</v>
      </c>
      <c r="L514" s="334">
        <f t="shared" si="51"/>
        <v>247500</v>
      </c>
      <c r="M514" s="334">
        <v>0</v>
      </c>
      <c r="N514" s="776">
        <v>0</v>
      </c>
      <c r="O514" s="1482"/>
      <c r="P514" s="1482"/>
      <c r="Q514" s="1498"/>
    </row>
    <row r="515" spans="1:18" s="373" customFormat="1" ht="30">
      <c r="A515" s="1631"/>
      <c r="B515" s="1488"/>
      <c r="C515" s="1488"/>
      <c r="D515" s="1602"/>
      <c r="E515" s="1628"/>
      <c r="F515" s="1600"/>
      <c r="G515" s="362" t="s">
        <v>835</v>
      </c>
      <c r="H515" s="807" t="s">
        <v>160</v>
      </c>
      <c r="I515" s="776">
        <v>1600</v>
      </c>
      <c r="J515" s="776">
        <f>'preturi unitare'!H43</f>
        <v>215</v>
      </c>
      <c r="K515" s="776">
        <f t="shared" si="50"/>
        <v>344000</v>
      </c>
      <c r="L515" s="334">
        <f t="shared" si="51"/>
        <v>344000</v>
      </c>
      <c r="M515" s="334">
        <v>0</v>
      </c>
      <c r="N515" s="776">
        <v>0</v>
      </c>
      <c r="O515" s="1482"/>
      <c r="P515" s="1482"/>
      <c r="Q515" s="1498"/>
      <c r="R515" s="646"/>
    </row>
    <row r="516" spans="1:18" s="373" customFormat="1" ht="30">
      <c r="A516" s="1631"/>
      <c r="B516" s="1488"/>
      <c r="C516" s="1488"/>
      <c r="D516" s="1602"/>
      <c r="E516" s="1628"/>
      <c r="F516" s="1600"/>
      <c r="G516" s="362" t="s">
        <v>1236</v>
      </c>
      <c r="H516" s="807" t="s">
        <v>160</v>
      </c>
      <c r="I516" s="776">
        <v>5500</v>
      </c>
      <c r="J516" s="776">
        <f>'preturi unitare'!J40</f>
        <v>170</v>
      </c>
      <c r="K516" s="776">
        <f t="shared" si="50"/>
        <v>935000</v>
      </c>
      <c r="L516" s="334">
        <f t="shared" ref="L516:L521" si="52">K516</f>
        <v>935000</v>
      </c>
      <c r="M516" s="334">
        <v>0</v>
      </c>
      <c r="N516" s="776">
        <v>0</v>
      </c>
      <c r="O516" s="1482"/>
      <c r="P516" s="1482"/>
      <c r="Q516" s="1498"/>
    </row>
    <row r="517" spans="1:18" s="373" customFormat="1" ht="30">
      <c r="A517" s="1631"/>
      <c r="B517" s="1488"/>
      <c r="C517" s="1488"/>
      <c r="D517" s="1602"/>
      <c r="E517" s="1628"/>
      <c r="F517" s="1600"/>
      <c r="G517" s="362" t="s">
        <v>836</v>
      </c>
      <c r="H517" s="807" t="s">
        <v>160</v>
      </c>
      <c r="I517" s="776">
        <v>700</v>
      </c>
      <c r="J517" s="776">
        <f>J514</f>
        <v>165</v>
      </c>
      <c r="K517" s="776">
        <f t="shared" si="50"/>
        <v>115500</v>
      </c>
      <c r="L517" s="334">
        <f t="shared" si="52"/>
        <v>115500</v>
      </c>
      <c r="M517" s="334">
        <v>0</v>
      </c>
      <c r="N517" s="776">
        <v>0</v>
      </c>
      <c r="O517" s="1482"/>
      <c r="P517" s="1482"/>
      <c r="Q517" s="1498"/>
    </row>
    <row r="518" spans="1:18" s="373" customFormat="1" ht="30">
      <c r="A518" s="1631"/>
      <c r="B518" s="1488"/>
      <c r="C518" s="1488"/>
      <c r="D518" s="1602"/>
      <c r="E518" s="1628"/>
      <c r="F518" s="1600"/>
      <c r="G518" s="362" t="s">
        <v>837</v>
      </c>
      <c r="H518" s="807" t="s">
        <v>160</v>
      </c>
      <c r="I518" s="776">
        <v>1500</v>
      </c>
      <c r="J518" s="776">
        <f>J513</f>
        <v>154</v>
      </c>
      <c r="K518" s="776">
        <f t="shared" si="50"/>
        <v>231000</v>
      </c>
      <c r="L518" s="334">
        <f t="shared" si="52"/>
        <v>231000</v>
      </c>
      <c r="M518" s="334">
        <v>0</v>
      </c>
      <c r="N518" s="776">
        <v>0</v>
      </c>
      <c r="O518" s="1482"/>
      <c r="P518" s="1482"/>
      <c r="Q518" s="1498"/>
    </row>
    <row r="519" spans="1:18" s="373" customFormat="1" ht="30">
      <c r="A519" s="1631"/>
      <c r="B519" s="1488"/>
      <c r="C519" s="1488"/>
      <c r="D519" s="1602"/>
      <c r="E519" s="1628"/>
      <c r="F519" s="1600"/>
      <c r="G519" s="362" t="s">
        <v>557</v>
      </c>
      <c r="H519" s="807" t="s">
        <v>160</v>
      </c>
      <c r="I519" s="776">
        <v>2800</v>
      </c>
      <c r="J519" s="776">
        <f>'preturi unitare'!J40</f>
        <v>170</v>
      </c>
      <c r="K519" s="776">
        <f t="shared" si="50"/>
        <v>476000</v>
      </c>
      <c r="L519" s="334">
        <f t="shared" si="52"/>
        <v>476000</v>
      </c>
      <c r="M519" s="334">
        <v>0</v>
      </c>
      <c r="N519" s="776">
        <v>0</v>
      </c>
      <c r="O519" s="1482"/>
      <c r="P519" s="1482"/>
      <c r="Q519" s="1498"/>
    </row>
    <row r="520" spans="1:18" s="373" customFormat="1" ht="30">
      <c r="A520" s="1631"/>
      <c r="B520" s="1488"/>
      <c r="C520" s="1488"/>
      <c r="D520" s="1602"/>
      <c r="E520" s="1628"/>
      <c r="F520" s="1600"/>
      <c r="G520" s="362" t="s">
        <v>839</v>
      </c>
      <c r="H520" s="807" t="s">
        <v>160</v>
      </c>
      <c r="I520" s="776">
        <v>6000</v>
      </c>
      <c r="J520" s="776">
        <f>J512</f>
        <v>165</v>
      </c>
      <c r="K520" s="776">
        <f t="shared" si="50"/>
        <v>990000</v>
      </c>
      <c r="L520" s="334">
        <f>5000*J520</f>
        <v>825000</v>
      </c>
      <c r="M520" s="334">
        <f>1000*J520</f>
        <v>165000</v>
      </c>
      <c r="N520" s="776">
        <v>0</v>
      </c>
      <c r="O520" s="1482"/>
      <c r="P520" s="1482"/>
      <c r="Q520" s="1498"/>
    </row>
    <row r="521" spans="1:18" s="373" customFormat="1" ht="30">
      <c r="A521" s="1632"/>
      <c r="B521" s="1488"/>
      <c r="C521" s="1488"/>
      <c r="D521" s="1602"/>
      <c r="E521" s="1607"/>
      <c r="F521" s="1600"/>
      <c r="G521" s="362" t="s">
        <v>840</v>
      </c>
      <c r="H521" s="807" t="s">
        <v>160</v>
      </c>
      <c r="I521" s="776">
        <v>6000</v>
      </c>
      <c r="J521" s="776">
        <f>J513</f>
        <v>154</v>
      </c>
      <c r="K521" s="776">
        <f t="shared" si="50"/>
        <v>924000</v>
      </c>
      <c r="L521" s="334">
        <f t="shared" si="52"/>
        <v>924000</v>
      </c>
      <c r="M521" s="334">
        <v>0</v>
      </c>
      <c r="N521" s="776">
        <v>0</v>
      </c>
      <c r="O521" s="1482"/>
      <c r="P521" s="1482"/>
      <c r="Q521" s="1499"/>
    </row>
    <row r="522" spans="1:18" s="373" customFormat="1">
      <c r="A522" s="885"/>
      <c r="B522" s="761"/>
      <c r="C522" s="761"/>
      <c r="D522" s="761"/>
      <c r="E522" s="761"/>
      <c r="F522" s="762"/>
      <c r="G522" s="384"/>
      <c r="H522" s="776"/>
      <c r="I522" s="776"/>
      <c r="J522" s="776"/>
      <c r="K522" s="776"/>
      <c r="L522" s="334"/>
      <c r="M522" s="334"/>
      <c r="N522" s="326"/>
      <c r="O522" s="387"/>
      <c r="P522" s="387"/>
      <c r="Q522" s="584"/>
    </row>
    <row r="523" spans="1:18" s="373" customFormat="1">
      <c r="A523" s="1150" t="s">
        <v>444</v>
      </c>
      <c r="B523" s="1151"/>
      <c r="C523" s="1151"/>
      <c r="D523" s="874"/>
      <c r="E523" s="874"/>
      <c r="F523" s="874"/>
      <c r="G523" s="875"/>
      <c r="H523" s="364"/>
      <c r="I523" s="364"/>
      <c r="J523" s="364"/>
      <c r="K523" s="364">
        <f>SUM(K500:K521)</f>
        <v>11656500</v>
      </c>
      <c r="L523" s="365">
        <f>SUM(L500:L521)</f>
        <v>7891500</v>
      </c>
      <c r="M523" s="365">
        <f>SUM(M500:M521)</f>
        <v>165000</v>
      </c>
      <c r="N523" s="364">
        <f>SUM(N500:N521)</f>
        <v>3600000</v>
      </c>
      <c r="O523" s="415"/>
      <c r="P523" s="415"/>
      <c r="Q523" s="584"/>
    </row>
    <row r="524" spans="1:18" s="373" customFormat="1" ht="15.75" thickBot="1">
      <c r="A524" s="884"/>
      <c r="B524" s="890"/>
      <c r="C524" s="890"/>
      <c r="D524" s="890"/>
      <c r="E524" s="890"/>
      <c r="F524" s="891"/>
      <c r="G524" s="892"/>
      <c r="H524" s="575"/>
      <c r="I524" s="575"/>
      <c r="J524" s="575"/>
      <c r="K524" s="575"/>
      <c r="L524" s="575"/>
      <c r="M524" s="575"/>
      <c r="N524" s="575"/>
      <c r="O524" s="419"/>
      <c r="P524" s="419"/>
      <c r="Q524" s="862"/>
    </row>
    <row r="525" spans="1:18" s="373" customFormat="1" ht="60" customHeight="1">
      <c r="A525" s="1608" t="s">
        <v>1472</v>
      </c>
      <c r="B525" s="1544" t="s">
        <v>617</v>
      </c>
      <c r="C525" s="1538" t="s">
        <v>610</v>
      </c>
      <c r="D525" s="1538" t="s">
        <v>611</v>
      </c>
      <c r="E525" s="1538" t="s">
        <v>1453</v>
      </c>
      <c r="F525" s="1472" t="s">
        <v>159</v>
      </c>
      <c r="G525" s="1509" t="s">
        <v>110</v>
      </c>
      <c r="H525" s="1477" t="s">
        <v>316</v>
      </c>
      <c r="I525" s="1472" t="s">
        <v>315</v>
      </c>
      <c r="J525" s="1472" t="s">
        <v>317</v>
      </c>
      <c r="K525" s="1472" t="s">
        <v>318</v>
      </c>
      <c r="L525" s="569" t="s">
        <v>1443</v>
      </c>
      <c r="M525" s="569" t="s">
        <v>1444</v>
      </c>
      <c r="N525" s="752" t="s">
        <v>1445</v>
      </c>
      <c r="O525" s="1477" t="s">
        <v>1673</v>
      </c>
      <c r="P525" s="1477" t="s">
        <v>1307</v>
      </c>
      <c r="Q525" s="1495" t="s">
        <v>1454</v>
      </c>
    </row>
    <row r="526" spans="1:18" s="373" customFormat="1" ht="15.75" thickBot="1">
      <c r="A526" s="1609"/>
      <c r="B526" s="1545"/>
      <c r="C526" s="1539"/>
      <c r="D526" s="1539"/>
      <c r="E526" s="1539"/>
      <c r="F526" s="1473"/>
      <c r="G526" s="1510"/>
      <c r="H526" s="1478"/>
      <c r="I526" s="1473"/>
      <c r="J526" s="1473"/>
      <c r="K526" s="1473"/>
      <c r="L526" s="570" t="s">
        <v>805</v>
      </c>
      <c r="M526" s="570" t="s">
        <v>805</v>
      </c>
      <c r="N526" s="753" t="s">
        <v>1149</v>
      </c>
      <c r="O526" s="1478"/>
      <c r="P526" s="1478"/>
      <c r="Q526" s="1496"/>
    </row>
    <row r="527" spans="1:18" s="373" customFormat="1">
      <c r="A527" s="1589" t="s">
        <v>612</v>
      </c>
      <c r="B527" s="1589" t="s">
        <v>612</v>
      </c>
      <c r="C527" s="1487" t="s">
        <v>612</v>
      </c>
      <c r="D527" s="1598">
        <f>D500</f>
        <v>78042</v>
      </c>
      <c r="E527" s="1681">
        <f>1.2*D527</f>
        <v>93650.4</v>
      </c>
      <c r="F527" s="1756" t="s">
        <v>517</v>
      </c>
      <c r="G527" s="412" t="s">
        <v>2117</v>
      </c>
      <c r="H527" s="756" t="s">
        <v>280</v>
      </c>
      <c r="I527" s="756">
        <v>1</v>
      </c>
      <c r="J527" s="756">
        <v>1000000</v>
      </c>
      <c r="K527" s="756">
        <f t="shared" ref="K527:K538" si="53">I527*J527</f>
        <v>1000000</v>
      </c>
      <c r="L527" s="411">
        <f t="shared" ref="L527:L538" si="54">K527</f>
        <v>1000000</v>
      </c>
      <c r="M527" s="411">
        <v>0</v>
      </c>
      <c r="N527" s="756">
        <v>0</v>
      </c>
      <c r="O527" s="877"/>
      <c r="P527" s="877"/>
      <c r="Q527" s="1497" t="s">
        <v>1451</v>
      </c>
    </row>
    <row r="528" spans="1:18" s="373" customFormat="1" ht="30">
      <c r="A528" s="1590"/>
      <c r="B528" s="1590"/>
      <c r="C528" s="1590"/>
      <c r="D528" s="1577"/>
      <c r="E528" s="1627"/>
      <c r="F528" s="1757"/>
      <c r="G528" s="329" t="s">
        <v>2000</v>
      </c>
      <c r="H528" s="776" t="s">
        <v>280</v>
      </c>
      <c r="I528" s="776">
        <v>2</v>
      </c>
      <c r="J528" s="776">
        <v>100000</v>
      </c>
      <c r="K528" s="776">
        <f t="shared" si="53"/>
        <v>200000</v>
      </c>
      <c r="L528" s="334">
        <f t="shared" si="54"/>
        <v>200000</v>
      </c>
      <c r="M528" s="334">
        <v>0</v>
      </c>
      <c r="N528" s="776">
        <v>0</v>
      </c>
      <c r="O528" s="387"/>
      <c r="P528" s="387"/>
      <c r="Q528" s="1498"/>
    </row>
    <row r="529" spans="1:17" s="373" customFormat="1" ht="32.25">
      <c r="A529" s="1590"/>
      <c r="B529" s="1590"/>
      <c r="C529" s="1590"/>
      <c r="D529" s="1577"/>
      <c r="E529" s="1627"/>
      <c r="F529" s="1757"/>
      <c r="G529" s="329" t="s">
        <v>2001</v>
      </c>
      <c r="H529" s="776" t="s">
        <v>280</v>
      </c>
      <c r="I529" s="776">
        <v>2</v>
      </c>
      <c r="J529" s="776">
        <v>300000</v>
      </c>
      <c r="K529" s="776">
        <f t="shared" si="53"/>
        <v>600000</v>
      </c>
      <c r="L529" s="334">
        <f t="shared" si="54"/>
        <v>600000</v>
      </c>
      <c r="M529" s="334">
        <v>0</v>
      </c>
      <c r="N529" s="776">
        <v>0</v>
      </c>
      <c r="O529" s="387"/>
      <c r="P529" s="387"/>
      <c r="Q529" s="1498"/>
    </row>
    <row r="530" spans="1:17" s="373" customFormat="1" ht="17.25">
      <c r="A530" s="1590"/>
      <c r="B530" s="1590"/>
      <c r="C530" s="1590"/>
      <c r="D530" s="1577"/>
      <c r="E530" s="1627"/>
      <c r="F530" s="1757"/>
      <c r="G530" s="329" t="s">
        <v>2002</v>
      </c>
      <c r="H530" s="807" t="s">
        <v>280</v>
      </c>
      <c r="I530" s="1189">
        <v>2</v>
      </c>
      <c r="J530" s="1189">
        <v>140000</v>
      </c>
      <c r="K530" s="1189">
        <f t="shared" si="53"/>
        <v>280000</v>
      </c>
      <c r="L530" s="334">
        <f t="shared" si="54"/>
        <v>280000</v>
      </c>
      <c r="M530" s="334">
        <v>0</v>
      </c>
      <c r="N530" s="1189">
        <v>0</v>
      </c>
      <c r="O530" s="387"/>
      <c r="P530" s="387"/>
      <c r="Q530" s="1498"/>
    </row>
    <row r="531" spans="1:17" s="373" customFormat="1">
      <c r="A531" s="1590"/>
      <c r="B531" s="1590"/>
      <c r="C531" s="1590"/>
      <c r="D531" s="1577"/>
      <c r="E531" s="1627"/>
      <c r="F531" s="1757"/>
      <c r="G531" s="329" t="s">
        <v>2003</v>
      </c>
      <c r="H531" s="807" t="s">
        <v>280</v>
      </c>
      <c r="I531" s="1189">
        <v>2</v>
      </c>
      <c r="J531" s="1189">
        <v>80000</v>
      </c>
      <c r="K531" s="1189">
        <f t="shared" si="53"/>
        <v>160000</v>
      </c>
      <c r="L531" s="334">
        <f t="shared" si="54"/>
        <v>160000</v>
      </c>
      <c r="M531" s="334">
        <v>0</v>
      </c>
      <c r="N531" s="1189">
        <v>0</v>
      </c>
      <c r="O531" s="387"/>
      <c r="P531" s="387"/>
      <c r="Q531" s="1498"/>
    </row>
    <row r="532" spans="1:17" s="373" customFormat="1">
      <c r="A532" s="1590"/>
      <c r="B532" s="1590"/>
      <c r="C532" s="1590"/>
      <c r="D532" s="1577"/>
      <c r="E532" s="1627"/>
      <c r="F532" s="1757"/>
      <c r="G532" s="329" t="s">
        <v>2004</v>
      </c>
      <c r="H532" s="807" t="s">
        <v>280</v>
      </c>
      <c r="I532" s="1189">
        <v>2</v>
      </c>
      <c r="J532" s="1189">
        <v>25000</v>
      </c>
      <c r="K532" s="1189">
        <f t="shared" si="53"/>
        <v>50000</v>
      </c>
      <c r="L532" s="334">
        <f t="shared" si="54"/>
        <v>50000</v>
      </c>
      <c r="M532" s="334">
        <v>0</v>
      </c>
      <c r="N532" s="1189">
        <v>0</v>
      </c>
      <c r="O532" s="387"/>
      <c r="P532" s="387"/>
      <c r="Q532" s="1498"/>
    </row>
    <row r="533" spans="1:17" s="373" customFormat="1" ht="30">
      <c r="A533" s="1590"/>
      <c r="B533" s="1590"/>
      <c r="C533" s="1590"/>
      <c r="D533" s="1577"/>
      <c r="E533" s="1627"/>
      <c r="F533" s="1757"/>
      <c r="G533" s="329" t="s">
        <v>2005</v>
      </c>
      <c r="H533" s="807" t="s">
        <v>280</v>
      </c>
      <c r="I533" s="1189">
        <v>3</v>
      </c>
      <c r="J533" s="1189">
        <v>25000</v>
      </c>
      <c r="K533" s="1189">
        <f t="shared" si="53"/>
        <v>75000</v>
      </c>
      <c r="L533" s="334">
        <f t="shared" si="54"/>
        <v>75000</v>
      </c>
      <c r="M533" s="334">
        <v>0</v>
      </c>
      <c r="N533" s="1189">
        <v>0</v>
      </c>
      <c r="O533" s="387"/>
      <c r="P533" s="387"/>
      <c r="Q533" s="1498"/>
    </row>
    <row r="534" spans="1:17" s="373" customFormat="1">
      <c r="A534" s="1590"/>
      <c r="B534" s="1590"/>
      <c r="C534" s="1590"/>
      <c r="D534" s="1577"/>
      <c r="E534" s="1627"/>
      <c r="F534" s="1757"/>
      <c r="G534" s="329" t="s">
        <v>2006</v>
      </c>
      <c r="H534" s="807" t="s">
        <v>280</v>
      </c>
      <c r="I534" s="1189">
        <v>1</v>
      </c>
      <c r="J534" s="1189">
        <v>100000</v>
      </c>
      <c r="K534" s="1189">
        <f t="shared" si="53"/>
        <v>100000</v>
      </c>
      <c r="L534" s="334">
        <f t="shared" si="54"/>
        <v>100000</v>
      </c>
      <c r="M534" s="334">
        <v>0</v>
      </c>
      <c r="N534" s="1189">
        <v>0</v>
      </c>
      <c r="O534" s="387"/>
      <c r="P534" s="387"/>
      <c r="Q534" s="1498"/>
    </row>
    <row r="535" spans="1:17" s="373" customFormat="1" ht="34.5" customHeight="1">
      <c r="A535" s="1590"/>
      <c r="B535" s="1590"/>
      <c r="C535" s="1590"/>
      <c r="D535" s="1577"/>
      <c r="E535" s="1627"/>
      <c r="F535" s="1757"/>
      <c r="G535" s="329" t="s">
        <v>2007</v>
      </c>
      <c r="H535" s="807" t="s">
        <v>280</v>
      </c>
      <c r="I535" s="1189">
        <v>1</v>
      </c>
      <c r="J535" s="1189">
        <v>150000</v>
      </c>
      <c r="K535" s="1189">
        <f t="shared" si="53"/>
        <v>150000</v>
      </c>
      <c r="L535" s="334">
        <f t="shared" si="54"/>
        <v>150000</v>
      </c>
      <c r="M535" s="334">
        <v>0</v>
      </c>
      <c r="N535" s="1189">
        <v>0</v>
      </c>
      <c r="O535" s="387"/>
      <c r="P535" s="387"/>
      <c r="Q535" s="1498"/>
    </row>
    <row r="536" spans="1:17" s="373" customFormat="1" ht="30.75" customHeight="1">
      <c r="A536" s="1590"/>
      <c r="B536" s="1590"/>
      <c r="C536" s="1590"/>
      <c r="D536" s="1577"/>
      <c r="E536" s="1627"/>
      <c r="F536" s="1757"/>
      <c r="G536" s="329" t="s">
        <v>2008</v>
      </c>
      <c r="H536" s="807" t="s">
        <v>280</v>
      </c>
      <c r="I536" s="1189">
        <v>3</v>
      </c>
      <c r="J536" s="1189">
        <v>20000</v>
      </c>
      <c r="K536" s="1189">
        <f t="shared" si="53"/>
        <v>60000</v>
      </c>
      <c r="L536" s="334">
        <f t="shared" si="54"/>
        <v>60000</v>
      </c>
      <c r="M536" s="334">
        <v>0</v>
      </c>
      <c r="N536" s="1189">
        <v>0</v>
      </c>
      <c r="O536" s="387"/>
      <c r="P536" s="387"/>
      <c r="Q536" s="1498"/>
    </row>
    <row r="537" spans="1:17" s="373" customFormat="1" ht="30">
      <c r="A537" s="1590"/>
      <c r="B537" s="1590"/>
      <c r="C537" s="1590"/>
      <c r="D537" s="1577"/>
      <c r="E537" s="1627"/>
      <c r="F537" s="1757"/>
      <c r="G537" s="329" t="s">
        <v>2009</v>
      </c>
      <c r="H537" s="807" t="s">
        <v>1322</v>
      </c>
      <c r="I537" s="1189">
        <v>1</v>
      </c>
      <c r="J537" s="1189">
        <v>85000</v>
      </c>
      <c r="K537" s="1189">
        <f t="shared" si="53"/>
        <v>85000</v>
      </c>
      <c r="L537" s="334">
        <f t="shared" si="54"/>
        <v>85000</v>
      </c>
      <c r="M537" s="334">
        <v>0</v>
      </c>
      <c r="N537" s="1189">
        <v>0</v>
      </c>
      <c r="O537" s="387"/>
      <c r="P537" s="387"/>
      <c r="Q537" s="1498"/>
    </row>
    <row r="538" spans="1:17" s="373" customFormat="1" ht="46.5" customHeight="1">
      <c r="A538" s="1590"/>
      <c r="B538" s="1590"/>
      <c r="C538" s="1590"/>
      <c r="D538" s="1577"/>
      <c r="E538" s="1598"/>
      <c r="F538" s="1757"/>
      <c r="G538" s="329" t="s">
        <v>1238</v>
      </c>
      <c r="H538" s="807" t="s">
        <v>280</v>
      </c>
      <c r="I538" s="776">
        <v>1</v>
      </c>
      <c r="J538" s="776">
        <v>500000</v>
      </c>
      <c r="K538" s="776">
        <f t="shared" si="53"/>
        <v>500000</v>
      </c>
      <c r="L538" s="334">
        <f t="shared" si="54"/>
        <v>500000</v>
      </c>
      <c r="M538" s="334">
        <v>0</v>
      </c>
      <c r="N538" s="1189">
        <v>0</v>
      </c>
      <c r="O538" s="415"/>
      <c r="P538" s="387"/>
      <c r="Q538" s="1499"/>
    </row>
    <row r="539" spans="1:17" s="373" customFormat="1">
      <c r="A539" s="885"/>
      <c r="B539" s="782"/>
      <c r="C539" s="782"/>
      <c r="D539" s="782"/>
      <c r="E539" s="782"/>
      <c r="F539" s="775"/>
      <c r="G539" s="328"/>
      <c r="H539" s="776"/>
      <c r="I539" s="776"/>
      <c r="J539" s="776"/>
      <c r="K539" s="364"/>
      <c r="L539" s="365"/>
      <c r="M539" s="365"/>
      <c r="N539" s="364"/>
      <c r="O539" s="387"/>
      <c r="P539" s="387"/>
      <c r="Q539" s="584"/>
    </row>
    <row r="540" spans="1:17" s="373" customFormat="1">
      <c r="A540" s="1532" t="s">
        <v>518</v>
      </c>
      <c r="B540" s="1533"/>
      <c r="C540" s="1533"/>
      <c r="D540" s="1533"/>
      <c r="E540" s="1533"/>
      <c r="F540" s="1533"/>
      <c r="G540" s="1534"/>
      <c r="H540" s="364"/>
      <c r="I540" s="364"/>
      <c r="J540" s="364"/>
      <c r="K540" s="364">
        <f>SUM(K527:K538)</f>
        <v>3260000</v>
      </c>
      <c r="L540" s="365">
        <f>SUM(L527:L538)</f>
        <v>3260000</v>
      </c>
      <c r="M540" s="365">
        <f>SUM(M527:M538)</f>
        <v>0</v>
      </c>
      <c r="N540" s="364">
        <f>SUM(N527:N538)</f>
        <v>0</v>
      </c>
      <c r="O540" s="415"/>
      <c r="P540" s="387"/>
      <c r="Q540" s="584"/>
    </row>
    <row r="541" spans="1:17" s="373" customFormat="1">
      <c r="A541" s="885"/>
      <c r="B541" s="782"/>
      <c r="C541" s="782"/>
      <c r="D541" s="782"/>
      <c r="E541" s="782"/>
      <c r="F541" s="762"/>
      <c r="G541" s="328"/>
      <c r="H541" s="776"/>
      <c r="I541" s="776"/>
      <c r="J541" s="776"/>
      <c r="K541" s="776"/>
      <c r="L541" s="776"/>
      <c r="M541" s="776"/>
      <c r="N541" s="776"/>
      <c r="O541" s="415"/>
      <c r="P541" s="387"/>
      <c r="Q541" s="584"/>
    </row>
    <row r="542" spans="1:17" s="373" customFormat="1" ht="15.75" customHeight="1" thickBot="1">
      <c r="A542" s="1474" t="s">
        <v>445</v>
      </c>
      <c r="B542" s="1475"/>
      <c r="C542" s="1475"/>
      <c r="D542" s="1475"/>
      <c r="E542" s="1475"/>
      <c r="F542" s="1475"/>
      <c r="G542" s="1476"/>
      <c r="H542" s="581"/>
      <c r="I542" s="581"/>
      <c r="J542" s="581"/>
      <c r="K542" s="582">
        <f>K540+K523+K496</f>
        <v>35762900</v>
      </c>
      <c r="L542" s="583">
        <f>L540+L523+L496</f>
        <v>29278900</v>
      </c>
      <c r="M542" s="583">
        <f>M540+M523+M496</f>
        <v>165000</v>
      </c>
      <c r="N542" s="582">
        <f>N540+N523+N496</f>
        <v>6319000</v>
      </c>
      <c r="O542" s="580"/>
      <c r="P542" s="580"/>
      <c r="Q542" s="886"/>
    </row>
    <row r="543" spans="1:17" s="373" customFormat="1" ht="15.75" thickBot="1">
      <c r="A543" s="876"/>
      <c r="B543" s="899"/>
      <c r="C543" s="899"/>
      <c r="D543" s="899"/>
      <c r="E543" s="899"/>
      <c r="F543" s="900"/>
      <c r="G543" s="897"/>
      <c r="H543" s="901"/>
      <c r="I543" s="900"/>
      <c r="J543" s="900"/>
      <c r="K543" s="900"/>
      <c r="L543" s="902"/>
      <c r="M543" s="902"/>
      <c r="N543" s="900"/>
      <c r="O543" s="876"/>
      <c r="P543" s="876"/>
      <c r="Q543" s="876"/>
    </row>
    <row r="544" spans="1:17" s="373" customFormat="1" ht="15.75" thickBot="1">
      <c r="A544" s="882"/>
      <c r="B544" s="639"/>
      <c r="C544" s="639"/>
      <c r="D544" s="841"/>
      <c r="E544" s="841"/>
      <c r="F544" s="846"/>
      <c r="G544" s="577" t="s">
        <v>1893</v>
      </c>
      <c r="H544" s="872"/>
      <c r="I544" s="873"/>
      <c r="J544" s="641"/>
      <c r="K544" s="639"/>
      <c r="L544" s="640"/>
      <c r="M544" s="640"/>
      <c r="N544" s="639"/>
      <c r="O544" s="841"/>
      <c r="P544" s="841"/>
      <c r="Q544" s="883"/>
    </row>
    <row r="545" spans="1:19" s="373" customFormat="1" ht="15.75" thickBot="1">
      <c r="A545" s="884"/>
      <c r="B545" s="355"/>
      <c r="C545" s="355"/>
      <c r="D545" s="898"/>
      <c r="E545" s="898"/>
      <c r="F545" s="356"/>
      <c r="G545" s="576"/>
      <c r="H545" s="358"/>
      <c r="I545" s="358"/>
      <c r="J545" s="358"/>
      <c r="K545" s="358"/>
      <c r="L545" s="359"/>
      <c r="M545" s="359"/>
      <c r="N545" s="358"/>
      <c r="O545" s="770"/>
      <c r="P545" s="770"/>
      <c r="Q545" s="862"/>
    </row>
    <row r="546" spans="1:19" s="373" customFormat="1" ht="60" customHeight="1">
      <c r="A546" s="1562" t="s">
        <v>632</v>
      </c>
      <c r="B546" s="1538" t="s">
        <v>676</v>
      </c>
      <c r="C546" s="1538" t="s">
        <v>610</v>
      </c>
      <c r="D546" s="1538" t="s">
        <v>611</v>
      </c>
      <c r="E546" s="1538" t="s">
        <v>1453</v>
      </c>
      <c r="F546" s="1472" t="s">
        <v>159</v>
      </c>
      <c r="G546" s="1509" t="s">
        <v>110</v>
      </c>
      <c r="H546" s="1477" t="s">
        <v>316</v>
      </c>
      <c r="I546" s="1472" t="s">
        <v>315</v>
      </c>
      <c r="J546" s="1472" t="s">
        <v>317</v>
      </c>
      <c r="K546" s="1472" t="s">
        <v>318</v>
      </c>
      <c r="L546" s="569" t="s">
        <v>1443</v>
      </c>
      <c r="M546" s="569" t="s">
        <v>1444</v>
      </c>
      <c r="N546" s="752" t="s">
        <v>1445</v>
      </c>
      <c r="O546" s="1477" t="s">
        <v>1673</v>
      </c>
      <c r="P546" s="1477" t="s">
        <v>1307</v>
      </c>
      <c r="Q546" s="1495" t="s">
        <v>1454</v>
      </c>
    </row>
    <row r="547" spans="1:19" s="373" customFormat="1" ht="15.75" thickBot="1">
      <c r="A547" s="1563"/>
      <c r="B547" s="1539"/>
      <c r="C547" s="1539"/>
      <c r="D547" s="1539"/>
      <c r="E547" s="1539"/>
      <c r="F547" s="1473"/>
      <c r="G547" s="1510"/>
      <c r="H547" s="1478"/>
      <c r="I547" s="1473"/>
      <c r="J547" s="1473"/>
      <c r="K547" s="1473"/>
      <c r="L547" s="570" t="s">
        <v>805</v>
      </c>
      <c r="M547" s="570" t="s">
        <v>805</v>
      </c>
      <c r="N547" s="753" t="s">
        <v>1149</v>
      </c>
      <c r="O547" s="1478"/>
      <c r="P547" s="1478"/>
      <c r="Q547" s="1496"/>
    </row>
    <row r="548" spans="1:19" s="373" customFormat="1" ht="30">
      <c r="A548" s="1630" t="s">
        <v>746</v>
      </c>
      <c r="B548" s="1611" t="s">
        <v>1455</v>
      </c>
      <c r="C548" s="1599" t="s">
        <v>747</v>
      </c>
      <c r="D548" s="1505">
        <v>182</v>
      </c>
      <c r="E548" s="1704" t="s">
        <v>1451</v>
      </c>
      <c r="F548" s="757" t="s">
        <v>140</v>
      </c>
      <c r="G548" s="412" t="s">
        <v>1050</v>
      </c>
      <c r="H548" s="422" t="s">
        <v>280</v>
      </c>
      <c r="I548" s="756">
        <v>1</v>
      </c>
      <c r="J548" s="756">
        <f>'preturi unitare'!K4</f>
        <v>89000</v>
      </c>
      <c r="K548" s="756">
        <f t="shared" ref="K548:K555" si="55">I548*J548</f>
        <v>89000</v>
      </c>
      <c r="L548" s="411">
        <f>K548</f>
        <v>89000</v>
      </c>
      <c r="M548" s="411">
        <v>0</v>
      </c>
      <c r="N548" s="430">
        <v>0</v>
      </c>
      <c r="O548" s="1512">
        <f>SUM(L548:L550)</f>
        <v>217300</v>
      </c>
      <c r="P548" s="1512">
        <f>O548/D548</f>
        <v>1193.9560439560439</v>
      </c>
      <c r="Q548" s="1500" t="s">
        <v>1622</v>
      </c>
    </row>
    <row r="549" spans="1:19" s="373" customFormat="1" ht="30">
      <c r="A549" s="1631"/>
      <c r="B549" s="1614"/>
      <c r="C549" s="1567"/>
      <c r="D549" s="1514"/>
      <c r="E549" s="1504"/>
      <c r="F549" s="762" t="s">
        <v>322</v>
      </c>
      <c r="G549" s="362" t="s">
        <v>1051</v>
      </c>
      <c r="H549" s="807" t="s">
        <v>160</v>
      </c>
      <c r="I549" s="776">
        <v>1200</v>
      </c>
      <c r="J549" s="776">
        <f>J555</f>
        <v>64</v>
      </c>
      <c r="K549" s="776">
        <f t="shared" si="55"/>
        <v>76800</v>
      </c>
      <c r="L549" s="334">
        <f>K549</f>
        <v>76800</v>
      </c>
      <c r="M549" s="334">
        <v>0</v>
      </c>
      <c r="N549" s="776">
        <v>0</v>
      </c>
      <c r="O549" s="1515"/>
      <c r="P549" s="1515"/>
      <c r="Q549" s="1498"/>
    </row>
    <row r="550" spans="1:19" s="373" customFormat="1" ht="47.25">
      <c r="A550" s="1631"/>
      <c r="B550" s="1612"/>
      <c r="C550" s="1567"/>
      <c r="D550" s="1514"/>
      <c r="E550" s="1505"/>
      <c r="F550" s="762" t="s">
        <v>279</v>
      </c>
      <c r="G550" s="329" t="s">
        <v>1875</v>
      </c>
      <c r="H550" s="653" t="s">
        <v>280</v>
      </c>
      <c r="I550" s="776">
        <v>1</v>
      </c>
      <c r="J550" s="776">
        <f>'preturi unitare'!E23+'preturi unitare'!E6</f>
        <v>51500</v>
      </c>
      <c r="K550" s="776">
        <f t="shared" si="55"/>
        <v>51500</v>
      </c>
      <c r="L550" s="334">
        <f t="shared" ref="L550:L555" si="56">K550</f>
        <v>51500</v>
      </c>
      <c r="M550" s="334">
        <v>0</v>
      </c>
      <c r="N550" s="776">
        <v>0</v>
      </c>
      <c r="O550" s="1515"/>
      <c r="P550" s="1515"/>
      <c r="Q550" s="1499"/>
    </row>
    <row r="551" spans="1:19" s="373" customFormat="1" ht="30">
      <c r="A551" s="1631"/>
      <c r="B551" s="1701" t="s">
        <v>746</v>
      </c>
      <c r="C551" s="1567" t="s">
        <v>748</v>
      </c>
      <c r="D551" s="1514">
        <v>845</v>
      </c>
      <c r="E551" s="1620" t="s">
        <v>1451</v>
      </c>
      <c r="F551" s="762" t="s">
        <v>320</v>
      </c>
      <c r="G551" s="329" t="s">
        <v>1052</v>
      </c>
      <c r="H551" s="807" t="s">
        <v>160</v>
      </c>
      <c r="I551" s="776">
        <v>500</v>
      </c>
      <c r="J551" s="776">
        <f>'preturi unitare'!H24</f>
        <v>79</v>
      </c>
      <c r="K551" s="776">
        <f t="shared" si="55"/>
        <v>39500</v>
      </c>
      <c r="L551" s="334">
        <f t="shared" si="56"/>
        <v>39500</v>
      </c>
      <c r="M551" s="334">
        <v>0</v>
      </c>
      <c r="N551" s="385">
        <v>0</v>
      </c>
      <c r="O551" s="1515">
        <f>SUM(L551:L552)</f>
        <v>397900</v>
      </c>
      <c r="P551" s="1515">
        <f>O551/D551</f>
        <v>470.88757396449705</v>
      </c>
      <c r="Q551" s="1500" t="s">
        <v>1623</v>
      </c>
    </row>
    <row r="552" spans="1:19" s="373" customFormat="1" ht="61.5" customHeight="1">
      <c r="A552" s="1631"/>
      <c r="B552" s="1701"/>
      <c r="C552" s="1567"/>
      <c r="D552" s="1514"/>
      <c r="E552" s="1505"/>
      <c r="F552" s="762" t="s">
        <v>322</v>
      </c>
      <c r="G552" s="329" t="s">
        <v>1053</v>
      </c>
      <c r="H552" s="807" t="s">
        <v>160</v>
      </c>
      <c r="I552" s="776">
        <v>5600</v>
      </c>
      <c r="J552" s="776">
        <f>'preturi unitare'!H22</f>
        <v>64</v>
      </c>
      <c r="K552" s="776">
        <f t="shared" si="55"/>
        <v>358400</v>
      </c>
      <c r="L552" s="334">
        <f t="shared" si="56"/>
        <v>358400</v>
      </c>
      <c r="M552" s="334">
        <v>0</v>
      </c>
      <c r="N552" s="776">
        <v>0</v>
      </c>
      <c r="O552" s="1515"/>
      <c r="P552" s="1515"/>
      <c r="Q552" s="1640"/>
    </row>
    <row r="553" spans="1:19" s="373" customFormat="1" ht="30" customHeight="1">
      <c r="A553" s="1631"/>
      <c r="B553" s="1701"/>
      <c r="C553" s="1567" t="s">
        <v>749</v>
      </c>
      <c r="D553" s="1514">
        <v>741</v>
      </c>
      <c r="E553" s="1620" t="s">
        <v>1451</v>
      </c>
      <c r="F553" s="762" t="s">
        <v>320</v>
      </c>
      <c r="G553" s="329" t="s">
        <v>1054</v>
      </c>
      <c r="H553" s="807" t="s">
        <v>160</v>
      </c>
      <c r="I553" s="776">
        <v>2500</v>
      </c>
      <c r="J553" s="776">
        <f>'preturi unitare'!H24</f>
        <v>79</v>
      </c>
      <c r="K553" s="776">
        <f t="shared" si="55"/>
        <v>197500</v>
      </c>
      <c r="L553" s="334">
        <f t="shared" si="56"/>
        <v>197500</v>
      </c>
      <c r="M553" s="334">
        <v>0</v>
      </c>
      <c r="N553" s="385">
        <v>0</v>
      </c>
      <c r="O553" s="1515">
        <f>SUM(L553:L554)</f>
        <v>485500</v>
      </c>
      <c r="P553" s="1515">
        <f>O553/D553</f>
        <v>655.19568151147098</v>
      </c>
      <c r="Q553" s="1500" t="s">
        <v>1623</v>
      </c>
    </row>
    <row r="554" spans="1:19" s="373" customFormat="1" ht="60.75" customHeight="1">
      <c r="A554" s="1631"/>
      <c r="B554" s="1701"/>
      <c r="C554" s="1567"/>
      <c r="D554" s="1514"/>
      <c r="E554" s="1505"/>
      <c r="F554" s="762" t="s">
        <v>322</v>
      </c>
      <c r="G554" s="329" t="s">
        <v>1055</v>
      </c>
      <c r="H554" s="807" t="s">
        <v>160</v>
      </c>
      <c r="I554" s="776">
        <v>4500</v>
      </c>
      <c r="J554" s="776">
        <f>J552</f>
        <v>64</v>
      </c>
      <c r="K554" s="776">
        <f t="shared" si="55"/>
        <v>288000</v>
      </c>
      <c r="L554" s="334">
        <f t="shared" si="56"/>
        <v>288000</v>
      </c>
      <c r="M554" s="334">
        <v>0</v>
      </c>
      <c r="N554" s="776">
        <v>0</v>
      </c>
      <c r="O554" s="1515"/>
      <c r="P554" s="1515"/>
      <c r="Q554" s="1640"/>
    </row>
    <row r="555" spans="1:19" s="373" customFormat="1" ht="44.25" customHeight="1">
      <c r="A555" s="1632"/>
      <c r="B555" s="1701"/>
      <c r="C555" s="751" t="s">
        <v>746</v>
      </c>
      <c r="D555" s="754">
        <v>1376</v>
      </c>
      <c r="E555" s="653" t="s">
        <v>1451</v>
      </c>
      <c r="F555" s="762" t="s">
        <v>322</v>
      </c>
      <c r="G555" s="329" t="s">
        <v>549</v>
      </c>
      <c r="H555" s="807" t="s">
        <v>160</v>
      </c>
      <c r="I555" s="776">
        <v>3000</v>
      </c>
      <c r="J555" s="776">
        <f>'preturi unitare'!H22</f>
        <v>64</v>
      </c>
      <c r="K555" s="776">
        <f t="shared" si="55"/>
        <v>192000</v>
      </c>
      <c r="L555" s="334">
        <f t="shared" si="56"/>
        <v>192000</v>
      </c>
      <c r="M555" s="334">
        <v>0</v>
      </c>
      <c r="N555" s="776">
        <v>0</v>
      </c>
      <c r="O555" s="755">
        <f>SUM(L555)</f>
        <v>192000</v>
      </c>
      <c r="P555" s="755">
        <f>O555/D555</f>
        <v>139.53488372093022</v>
      </c>
      <c r="Q555" s="1002" t="s">
        <v>1624</v>
      </c>
    </row>
    <row r="556" spans="1:19" s="373" customFormat="1">
      <c r="A556" s="885"/>
      <c r="B556" s="326"/>
      <c r="C556" s="326"/>
      <c r="D556" s="385"/>
      <c r="E556" s="385"/>
      <c r="F556" s="326"/>
      <c r="G556" s="326"/>
      <c r="H556" s="326"/>
      <c r="I556" s="776"/>
      <c r="J556" s="776"/>
      <c r="K556" s="776"/>
      <c r="L556" s="334"/>
      <c r="M556" s="334"/>
      <c r="N556" s="326"/>
      <c r="O556" s="776"/>
      <c r="P556" s="776"/>
      <c r="Q556" s="971"/>
    </row>
    <row r="557" spans="1:19" s="373" customFormat="1">
      <c r="A557" s="1532" t="s">
        <v>585</v>
      </c>
      <c r="B557" s="1533"/>
      <c r="C557" s="1533"/>
      <c r="D557" s="1533"/>
      <c r="E557" s="1533"/>
      <c r="F557" s="1533"/>
      <c r="G557" s="1534"/>
      <c r="H557" s="793"/>
      <c r="I557" s="776"/>
      <c r="J557" s="776"/>
      <c r="K557" s="364">
        <f>SUM(K548:K555)</f>
        <v>1292700</v>
      </c>
      <c r="L557" s="365">
        <f>SUM(L548:L555)</f>
        <v>1292700</v>
      </c>
      <c r="M557" s="365">
        <f>SUM(M548:M555)</f>
        <v>0</v>
      </c>
      <c r="N557" s="364">
        <f>SUM(N548:N555)</f>
        <v>0</v>
      </c>
      <c r="O557" s="776"/>
      <c r="P557" s="776"/>
      <c r="Q557" s="584"/>
      <c r="S557" s="374"/>
    </row>
    <row r="558" spans="1:19" s="373" customFormat="1" ht="15.75" thickBot="1">
      <c r="A558" s="884"/>
      <c r="B558" s="397"/>
      <c r="C558" s="397"/>
      <c r="D558" s="768"/>
      <c r="E558" s="768"/>
      <c r="F558" s="766"/>
      <c r="G558" s="417"/>
      <c r="H558" s="732"/>
      <c r="I558" s="732"/>
      <c r="J558" s="732"/>
      <c r="K558" s="732"/>
      <c r="L558" s="426"/>
      <c r="M558" s="426"/>
      <c r="N558" s="418"/>
      <c r="O558" s="770"/>
      <c r="P558" s="770"/>
      <c r="Q558" s="862"/>
    </row>
    <row r="559" spans="1:19" s="373" customFormat="1" ht="60" customHeight="1">
      <c r="A559" s="1608" t="s">
        <v>632</v>
      </c>
      <c r="B559" s="1544" t="s">
        <v>617</v>
      </c>
      <c r="C559" s="1538" t="s">
        <v>610</v>
      </c>
      <c r="D559" s="1538" t="s">
        <v>611</v>
      </c>
      <c r="E559" s="1538" t="s">
        <v>1453</v>
      </c>
      <c r="F559" s="1472" t="s">
        <v>159</v>
      </c>
      <c r="G559" s="1509" t="s">
        <v>110</v>
      </c>
      <c r="H559" s="1477" t="s">
        <v>316</v>
      </c>
      <c r="I559" s="1472" t="s">
        <v>315</v>
      </c>
      <c r="J559" s="1472" t="s">
        <v>317</v>
      </c>
      <c r="K559" s="1472" t="s">
        <v>318</v>
      </c>
      <c r="L559" s="569" t="s">
        <v>1443</v>
      </c>
      <c r="M559" s="569" t="s">
        <v>1444</v>
      </c>
      <c r="N559" s="752" t="s">
        <v>1445</v>
      </c>
      <c r="O559" s="1477" t="s">
        <v>1673</v>
      </c>
      <c r="P559" s="1477" t="s">
        <v>1307</v>
      </c>
      <c r="Q559" s="1495" t="s">
        <v>1454</v>
      </c>
    </row>
    <row r="560" spans="1:19" s="373" customFormat="1" ht="15.75" thickBot="1">
      <c r="A560" s="1609"/>
      <c r="B560" s="1545"/>
      <c r="C560" s="1539"/>
      <c r="D560" s="1539"/>
      <c r="E560" s="1539"/>
      <c r="F560" s="1473"/>
      <c r="G560" s="1510"/>
      <c r="H560" s="1478"/>
      <c r="I560" s="1473"/>
      <c r="J560" s="1473"/>
      <c r="K560" s="1473"/>
      <c r="L560" s="570" t="s">
        <v>805</v>
      </c>
      <c r="M560" s="570" t="s">
        <v>805</v>
      </c>
      <c r="N560" s="753" t="s">
        <v>1149</v>
      </c>
      <c r="O560" s="1478"/>
      <c r="P560" s="1478"/>
      <c r="Q560" s="1496"/>
    </row>
    <row r="561" spans="1:17" s="373" customFormat="1" ht="30" customHeight="1">
      <c r="A561" s="1630" t="s">
        <v>746</v>
      </c>
      <c r="B561" s="1281" t="s">
        <v>1451</v>
      </c>
      <c r="C561" s="1281" t="s">
        <v>747</v>
      </c>
      <c r="D561" s="1285">
        <f>D548</f>
        <v>182</v>
      </c>
      <c r="E561" s="1284">
        <f>D561</f>
        <v>182</v>
      </c>
      <c r="F561" s="757" t="s">
        <v>323</v>
      </c>
      <c r="G561" s="423" t="s">
        <v>2094</v>
      </c>
      <c r="H561" s="1290" t="s">
        <v>1322</v>
      </c>
      <c r="I561" s="756">
        <v>1</v>
      </c>
      <c r="J561" s="756">
        <f>'preturi unitare'!N4</f>
        <v>70000</v>
      </c>
      <c r="K561" s="756">
        <f t="shared" ref="K561:K566" si="57">I561*J561</f>
        <v>70000</v>
      </c>
      <c r="L561" s="411">
        <v>0</v>
      </c>
      <c r="M561" s="411">
        <f>K561</f>
        <v>70000</v>
      </c>
      <c r="N561" s="429">
        <v>0</v>
      </c>
      <c r="O561" s="1279">
        <f>K561</f>
        <v>70000</v>
      </c>
      <c r="P561" s="1279">
        <f>O561/D561</f>
        <v>384.61538461538464</v>
      </c>
      <c r="Q561" s="1282" t="s">
        <v>1507</v>
      </c>
    </row>
    <row r="562" spans="1:17" s="373" customFormat="1" ht="30">
      <c r="A562" s="1631"/>
      <c r="B562" s="1567" t="s">
        <v>746</v>
      </c>
      <c r="C562" s="1567" t="s">
        <v>750</v>
      </c>
      <c r="D562" s="1514">
        <f>D555+D553+D551</f>
        <v>2962</v>
      </c>
      <c r="E562" s="1513">
        <f>1.1*D562</f>
        <v>3258.2000000000003</v>
      </c>
      <c r="F562" s="1600" t="s">
        <v>144</v>
      </c>
      <c r="G562" s="362" t="s">
        <v>1056</v>
      </c>
      <c r="H562" s="393" t="s">
        <v>160</v>
      </c>
      <c r="I562" s="776">
        <v>3000</v>
      </c>
      <c r="J562" s="776">
        <f>'preturi unitare'!H40</f>
        <v>154</v>
      </c>
      <c r="K562" s="776">
        <f t="shared" si="57"/>
        <v>462000</v>
      </c>
      <c r="L562" s="334">
        <v>0</v>
      </c>
      <c r="M562" s="411">
        <f t="shared" ref="M562:M566" si="58">K562</f>
        <v>462000</v>
      </c>
      <c r="N562" s="429">
        <v>0</v>
      </c>
      <c r="O562" s="1515">
        <f>SUM(M562:M566)</f>
        <v>2624200</v>
      </c>
      <c r="P562" s="1515">
        <f>O562/D562</f>
        <v>885.95543551654282</v>
      </c>
      <c r="Q562" s="1500" t="s">
        <v>1681</v>
      </c>
    </row>
    <row r="563" spans="1:17" s="373" customFormat="1" ht="30">
      <c r="A563" s="1631"/>
      <c r="B563" s="1701"/>
      <c r="C563" s="1567"/>
      <c r="D563" s="1514"/>
      <c r="E563" s="1504"/>
      <c r="F563" s="1600"/>
      <c r="G563" s="362" t="s">
        <v>1057</v>
      </c>
      <c r="H563" s="393" t="s">
        <v>160</v>
      </c>
      <c r="I563" s="776">
        <v>2200</v>
      </c>
      <c r="J563" s="776">
        <f>J562</f>
        <v>154</v>
      </c>
      <c r="K563" s="776">
        <f t="shared" si="57"/>
        <v>338800</v>
      </c>
      <c r="L563" s="334">
        <v>0</v>
      </c>
      <c r="M563" s="411">
        <f t="shared" si="58"/>
        <v>338800</v>
      </c>
      <c r="N563" s="429">
        <v>0</v>
      </c>
      <c r="O563" s="1515"/>
      <c r="P563" s="1515"/>
      <c r="Q563" s="1498"/>
    </row>
    <row r="564" spans="1:17" s="373" customFormat="1" ht="30">
      <c r="A564" s="1631"/>
      <c r="B564" s="1701"/>
      <c r="C564" s="1567"/>
      <c r="D564" s="1514"/>
      <c r="E564" s="1504"/>
      <c r="F564" s="762" t="s">
        <v>324</v>
      </c>
      <c r="G564" s="362" t="s">
        <v>1058</v>
      </c>
      <c r="H564" s="807" t="s">
        <v>280</v>
      </c>
      <c r="I564" s="776">
        <v>4</v>
      </c>
      <c r="J564" s="776">
        <f>'preturi unitare'!B32</f>
        <v>67000</v>
      </c>
      <c r="K564" s="776">
        <f t="shared" si="57"/>
        <v>268000</v>
      </c>
      <c r="L564" s="334">
        <v>0</v>
      </c>
      <c r="M564" s="411">
        <f t="shared" si="58"/>
        <v>268000</v>
      </c>
      <c r="N564" s="429">
        <v>0</v>
      </c>
      <c r="O564" s="1515"/>
      <c r="P564" s="1515"/>
      <c r="Q564" s="1498"/>
    </row>
    <row r="565" spans="1:17" s="373" customFormat="1" ht="30">
      <c r="A565" s="1631"/>
      <c r="B565" s="1701"/>
      <c r="C565" s="1567"/>
      <c r="D565" s="1514"/>
      <c r="E565" s="1504"/>
      <c r="F565" s="1600" t="s">
        <v>325</v>
      </c>
      <c r="G565" s="362" t="s">
        <v>1059</v>
      </c>
      <c r="H565" s="807" t="s">
        <v>160</v>
      </c>
      <c r="I565" s="776">
        <v>5600</v>
      </c>
      <c r="J565" s="776">
        <f>J563</f>
        <v>154</v>
      </c>
      <c r="K565" s="776">
        <f t="shared" si="57"/>
        <v>862400</v>
      </c>
      <c r="L565" s="334">
        <v>0</v>
      </c>
      <c r="M565" s="411">
        <f t="shared" si="58"/>
        <v>862400</v>
      </c>
      <c r="N565" s="429">
        <v>0</v>
      </c>
      <c r="O565" s="1515"/>
      <c r="P565" s="1515"/>
      <c r="Q565" s="1498"/>
    </row>
    <row r="566" spans="1:17" s="373" customFormat="1" ht="45.75" customHeight="1">
      <c r="A566" s="1632"/>
      <c r="B566" s="1701"/>
      <c r="C566" s="1567"/>
      <c r="D566" s="1514"/>
      <c r="E566" s="1505"/>
      <c r="F566" s="1600"/>
      <c r="G566" s="329" t="s">
        <v>1060</v>
      </c>
      <c r="H566" s="807" t="s">
        <v>160</v>
      </c>
      <c r="I566" s="776">
        <v>4500</v>
      </c>
      <c r="J566" s="776">
        <f>J565</f>
        <v>154</v>
      </c>
      <c r="K566" s="776">
        <f t="shared" si="57"/>
        <v>693000</v>
      </c>
      <c r="L566" s="334">
        <v>0</v>
      </c>
      <c r="M566" s="411">
        <f t="shared" si="58"/>
        <v>693000</v>
      </c>
      <c r="N566" s="429">
        <v>0</v>
      </c>
      <c r="O566" s="1515"/>
      <c r="P566" s="1515"/>
      <c r="Q566" s="1499"/>
    </row>
    <row r="567" spans="1:17" s="373" customFormat="1">
      <c r="A567" s="885"/>
      <c r="B567" s="761"/>
      <c r="C567" s="761"/>
      <c r="D567" s="760"/>
      <c r="E567" s="760"/>
      <c r="F567" s="762"/>
      <c r="G567" s="384"/>
      <c r="H567" s="776"/>
      <c r="I567" s="776"/>
      <c r="J567" s="776"/>
      <c r="K567" s="776"/>
      <c r="L567" s="334"/>
      <c r="M567" s="334"/>
      <c r="N567" s="326"/>
      <c r="O567" s="776"/>
      <c r="P567" s="776"/>
      <c r="Q567" s="584"/>
    </row>
    <row r="568" spans="1:17" s="373" customFormat="1">
      <c r="A568" s="1532" t="s">
        <v>432</v>
      </c>
      <c r="B568" s="1533"/>
      <c r="C568" s="1533"/>
      <c r="D568" s="1533"/>
      <c r="E568" s="1533"/>
      <c r="F568" s="1533"/>
      <c r="G568" s="1534"/>
      <c r="H568" s="364"/>
      <c r="I568" s="364"/>
      <c r="J568" s="364"/>
      <c r="K568" s="364">
        <f>SUM(K561:K566)</f>
        <v>2694200</v>
      </c>
      <c r="L568" s="365">
        <f>SUM(L561:L566)</f>
        <v>0</v>
      </c>
      <c r="M568" s="365">
        <f>SUM(M561:M566)</f>
        <v>2694200</v>
      </c>
      <c r="N568" s="364">
        <f>SUM(N561:N566)</f>
        <v>0</v>
      </c>
      <c r="O568" s="776"/>
      <c r="P568" s="776"/>
      <c r="Q568" s="584"/>
    </row>
    <row r="569" spans="1:17" s="373" customFormat="1">
      <c r="A569" s="885"/>
      <c r="B569" s="782"/>
      <c r="C569" s="782"/>
      <c r="D569" s="763"/>
      <c r="E569" s="763"/>
      <c r="F569" s="762"/>
      <c r="G569" s="328"/>
      <c r="H569" s="776"/>
      <c r="I569" s="776"/>
      <c r="J569" s="776"/>
      <c r="K569" s="776"/>
      <c r="L569" s="334"/>
      <c r="M569" s="334"/>
      <c r="N569" s="776"/>
      <c r="O569" s="776"/>
      <c r="P569" s="776"/>
      <c r="Q569" s="584"/>
    </row>
    <row r="570" spans="1:17" s="373" customFormat="1" ht="15.75" customHeight="1" thickBot="1">
      <c r="A570" s="1474" t="s">
        <v>433</v>
      </c>
      <c r="B570" s="1475"/>
      <c r="C570" s="1475"/>
      <c r="D570" s="1475"/>
      <c r="E570" s="1475"/>
      <c r="F570" s="1475"/>
      <c r="G570" s="1476"/>
      <c r="H570" s="581"/>
      <c r="I570" s="581"/>
      <c r="J570" s="581"/>
      <c r="K570" s="582">
        <f>K557+K568</f>
        <v>3986900</v>
      </c>
      <c r="L570" s="583">
        <f>L557+L568</f>
        <v>1292700</v>
      </c>
      <c r="M570" s="583">
        <f>M557+M568</f>
        <v>2694200</v>
      </c>
      <c r="N570" s="582">
        <f>N557+N568</f>
        <v>0</v>
      </c>
      <c r="O570" s="581"/>
      <c r="P570" s="581"/>
      <c r="Q570" s="886"/>
    </row>
    <row r="571" spans="1:17" s="373" customFormat="1" ht="15.75" thickBot="1">
      <c r="A571" s="876"/>
      <c r="B571" s="899"/>
      <c r="C571" s="899"/>
      <c r="D571" s="899"/>
      <c r="E571" s="899"/>
      <c r="F571" s="900"/>
      <c r="G571" s="897"/>
      <c r="H571" s="901"/>
      <c r="I571" s="900"/>
      <c r="J571" s="900"/>
      <c r="K571" s="900"/>
      <c r="L571" s="902"/>
      <c r="M571" s="902"/>
      <c r="N571" s="900"/>
      <c r="O571" s="876"/>
      <c r="P571" s="876"/>
      <c r="Q571" s="876"/>
    </row>
    <row r="572" spans="1:17" s="373" customFormat="1" ht="15.75" thickBot="1">
      <c r="A572" s="882"/>
      <c r="B572" s="639"/>
      <c r="C572" s="639"/>
      <c r="D572" s="841"/>
      <c r="E572" s="841"/>
      <c r="F572" s="846"/>
      <c r="G572" s="577" t="s">
        <v>1894</v>
      </c>
      <c r="H572" s="872"/>
      <c r="I572" s="873"/>
      <c r="J572" s="641"/>
      <c r="K572" s="639"/>
      <c r="L572" s="640"/>
      <c r="M572" s="640"/>
      <c r="N572" s="639"/>
      <c r="O572" s="841"/>
      <c r="P572" s="841"/>
      <c r="Q572" s="883"/>
    </row>
    <row r="573" spans="1:17" s="373" customFormat="1" ht="15.75" hidden="1" thickBot="1">
      <c r="A573" s="1321"/>
      <c r="B573" s="1326"/>
      <c r="C573" s="1326"/>
      <c r="D573" s="1310"/>
      <c r="E573" s="1310"/>
      <c r="F573" s="1322"/>
      <c r="G573" s="1327"/>
      <c r="H573" s="1323"/>
      <c r="I573" s="1324"/>
      <c r="J573" s="876"/>
      <c r="K573" s="1326"/>
      <c r="L573" s="1328"/>
      <c r="M573" s="1328"/>
      <c r="N573" s="1326"/>
      <c r="O573" s="1310"/>
      <c r="P573" s="1310"/>
      <c r="Q573" s="1325"/>
    </row>
    <row r="574" spans="1:17" s="373" customFormat="1" ht="60" hidden="1">
      <c r="A574" s="1562" t="s">
        <v>632</v>
      </c>
      <c r="B574" s="1538" t="s">
        <v>676</v>
      </c>
      <c r="C574" s="1538" t="s">
        <v>610</v>
      </c>
      <c r="D574" s="1538" t="s">
        <v>611</v>
      </c>
      <c r="E574" s="1538" t="s">
        <v>1453</v>
      </c>
      <c r="F574" s="1472" t="s">
        <v>159</v>
      </c>
      <c r="G574" s="1509" t="s">
        <v>110</v>
      </c>
      <c r="H574" s="1477" t="s">
        <v>316</v>
      </c>
      <c r="I574" s="1472" t="s">
        <v>315</v>
      </c>
      <c r="J574" s="1472" t="s">
        <v>317</v>
      </c>
      <c r="K574" s="1472" t="s">
        <v>318</v>
      </c>
      <c r="L574" s="569" t="s">
        <v>1443</v>
      </c>
      <c r="M574" s="569" t="s">
        <v>1444</v>
      </c>
      <c r="N574" s="1312" t="s">
        <v>1445</v>
      </c>
      <c r="O574" s="1477" t="s">
        <v>1673</v>
      </c>
      <c r="P574" s="1477" t="s">
        <v>1307</v>
      </c>
      <c r="Q574" s="1495" t="s">
        <v>1454</v>
      </c>
    </row>
    <row r="575" spans="1:17" s="373" customFormat="1" ht="15.75" hidden="1" thickBot="1">
      <c r="A575" s="1563"/>
      <c r="B575" s="1539"/>
      <c r="C575" s="1539"/>
      <c r="D575" s="1539"/>
      <c r="E575" s="1539"/>
      <c r="F575" s="1473"/>
      <c r="G575" s="1510"/>
      <c r="H575" s="1478"/>
      <c r="I575" s="1473"/>
      <c r="J575" s="1473"/>
      <c r="K575" s="1473"/>
      <c r="L575" s="570" t="s">
        <v>805</v>
      </c>
      <c r="M575" s="570" t="s">
        <v>805</v>
      </c>
      <c r="N575" s="1313" t="s">
        <v>1149</v>
      </c>
      <c r="O575" s="1478"/>
      <c r="P575" s="1478"/>
      <c r="Q575" s="1496"/>
    </row>
    <row r="576" spans="1:17" s="373" customFormat="1" ht="30" hidden="1">
      <c r="A576" s="1493" t="s">
        <v>822</v>
      </c>
      <c r="B576" s="1491" t="s">
        <v>2105</v>
      </c>
      <c r="C576" s="1621" t="s">
        <v>2106</v>
      </c>
      <c r="D576" s="1489">
        <f>D584+D587+D589</f>
        <v>2696</v>
      </c>
      <c r="E576" s="1489" t="s">
        <v>1451</v>
      </c>
      <c r="F576" s="1331" t="s">
        <v>2107</v>
      </c>
      <c r="G576" s="1332" t="s">
        <v>2108</v>
      </c>
      <c r="H576" s="1308" t="s">
        <v>280</v>
      </c>
      <c r="I576" s="1333">
        <v>5</v>
      </c>
      <c r="J576" s="1333">
        <f>'preturi unitare'!E6</f>
        <v>30000</v>
      </c>
      <c r="K576" s="1333">
        <v>0</v>
      </c>
      <c r="L576" s="939">
        <v>0</v>
      </c>
      <c r="M576" s="939">
        <v>0</v>
      </c>
      <c r="N576" s="1333">
        <v>0</v>
      </c>
      <c r="O576" s="1489">
        <f>SUM(L576:L578)</f>
        <v>0</v>
      </c>
      <c r="P576" s="1489">
        <f>O576/D576</f>
        <v>0</v>
      </c>
      <c r="Q576" s="1330"/>
    </row>
    <row r="577" spans="1:17" s="373" customFormat="1" ht="30" hidden="1">
      <c r="A577" s="1494"/>
      <c r="B577" s="1492"/>
      <c r="C577" s="1622"/>
      <c r="D577" s="1490"/>
      <c r="E577" s="1490"/>
      <c r="F577" s="1334" t="s">
        <v>643</v>
      </c>
      <c r="G577" s="1335" t="s">
        <v>2109</v>
      </c>
      <c r="H577" s="1309" t="s">
        <v>160</v>
      </c>
      <c r="I577" s="389">
        <v>6000</v>
      </c>
      <c r="J577" s="389">
        <f>'preturi unitare'!H23</f>
        <v>68</v>
      </c>
      <c r="K577" s="389">
        <v>0</v>
      </c>
      <c r="L577" s="334">
        <v>0</v>
      </c>
      <c r="M577" s="334">
        <v>0</v>
      </c>
      <c r="N577" s="389">
        <v>0</v>
      </c>
      <c r="O577" s="1490"/>
      <c r="P577" s="1490"/>
      <c r="Q577" s="1329"/>
    </row>
    <row r="578" spans="1:17" s="373" customFormat="1" ht="30" hidden="1">
      <c r="A578" s="1494"/>
      <c r="B578" s="1492"/>
      <c r="C578" s="1622"/>
      <c r="D578" s="1490"/>
      <c r="E578" s="1490"/>
      <c r="F578" s="1334" t="s">
        <v>322</v>
      </c>
      <c r="G578" s="1335" t="s">
        <v>2110</v>
      </c>
      <c r="H578" s="1309" t="s">
        <v>160</v>
      </c>
      <c r="I578" s="389">
        <v>15000</v>
      </c>
      <c r="J578" s="389">
        <f>'preturi unitare'!H22</f>
        <v>64</v>
      </c>
      <c r="K578" s="389">
        <v>0</v>
      </c>
      <c r="L578" s="334">
        <v>0</v>
      </c>
      <c r="M578" s="334">
        <v>0</v>
      </c>
      <c r="N578" s="389">
        <v>0</v>
      </c>
      <c r="O578" s="1490"/>
      <c r="P578" s="1490"/>
      <c r="Q578" s="1329"/>
    </row>
    <row r="579" spans="1:17" s="373" customFormat="1" hidden="1">
      <c r="A579" s="1336"/>
      <c r="B579" s="1309"/>
      <c r="C579" s="1309"/>
      <c r="D579" s="389"/>
      <c r="E579" s="389"/>
      <c r="F579" s="1334"/>
      <c r="G579" s="1309"/>
      <c r="H579" s="1309"/>
      <c r="I579" s="1309"/>
      <c r="J579" s="1337"/>
      <c r="K579" s="389"/>
      <c r="L579" s="334"/>
      <c r="M579" s="334"/>
      <c r="N579" s="389"/>
      <c r="O579" s="389"/>
      <c r="P579" s="389"/>
      <c r="Q579" s="1329"/>
    </row>
    <row r="580" spans="1:17" s="373" customFormat="1" hidden="1">
      <c r="A580" s="1501" t="s">
        <v>2111</v>
      </c>
      <c r="B580" s="1502"/>
      <c r="C580" s="1502"/>
      <c r="D580" s="1502"/>
      <c r="E580" s="1502"/>
      <c r="F580" s="1502"/>
      <c r="G580" s="1502"/>
      <c r="H580" s="1309"/>
      <c r="I580" s="1309"/>
      <c r="J580" s="1337"/>
      <c r="K580" s="408">
        <v>0</v>
      </c>
      <c r="L580" s="334">
        <f>SUM(L576:L578)</f>
        <v>0</v>
      </c>
      <c r="M580" s="334">
        <f>SUM(M576:M578)</f>
        <v>0</v>
      </c>
      <c r="N580" s="389">
        <f>SUM(N576:N578)</f>
        <v>0</v>
      </c>
      <c r="O580" s="389"/>
      <c r="P580" s="389"/>
      <c r="Q580" s="1329"/>
    </row>
    <row r="581" spans="1:17" s="373" customFormat="1" ht="15.75" thickBot="1">
      <c r="A581" s="1338"/>
      <c r="B581" s="864"/>
      <c r="C581" s="864"/>
      <c r="D581" s="1339"/>
      <c r="E581" s="1339"/>
      <c r="F581" s="865"/>
      <c r="G581" s="1340"/>
      <c r="H581" s="1341"/>
      <c r="I581" s="1341"/>
      <c r="J581" s="1341"/>
      <c r="K581" s="1341"/>
      <c r="L581" s="1342"/>
      <c r="M581" s="1342"/>
      <c r="N581" s="1341"/>
      <c r="O581" s="1343"/>
      <c r="P581" s="1343"/>
      <c r="Q581" s="862"/>
    </row>
    <row r="582" spans="1:17" s="373" customFormat="1" ht="60" customHeight="1">
      <c r="A582" s="1608" t="s">
        <v>632</v>
      </c>
      <c r="B582" s="1544" t="s">
        <v>617</v>
      </c>
      <c r="C582" s="1538" t="s">
        <v>610</v>
      </c>
      <c r="D582" s="1538" t="s">
        <v>611</v>
      </c>
      <c r="E582" s="1538" t="s">
        <v>1453</v>
      </c>
      <c r="F582" s="1472" t="s">
        <v>159</v>
      </c>
      <c r="G582" s="1509" t="s">
        <v>110</v>
      </c>
      <c r="H582" s="1477" t="s">
        <v>316</v>
      </c>
      <c r="I582" s="1472" t="s">
        <v>315</v>
      </c>
      <c r="J582" s="1472" t="s">
        <v>317</v>
      </c>
      <c r="K582" s="1472" t="s">
        <v>318</v>
      </c>
      <c r="L582" s="569" t="s">
        <v>1443</v>
      </c>
      <c r="M582" s="569" t="s">
        <v>1444</v>
      </c>
      <c r="N582" s="752" t="s">
        <v>1445</v>
      </c>
      <c r="O582" s="1477" t="s">
        <v>652</v>
      </c>
      <c r="P582" s="1477" t="s">
        <v>1307</v>
      </c>
      <c r="Q582" s="1495" t="s">
        <v>1454</v>
      </c>
    </row>
    <row r="583" spans="1:17" s="373" customFormat="1" ht="15.75" thickBot="1">
      <c r="A583" s="1609"/>
      <c r="B583" s="1545"/>
      <c r="C583" s="1539"/>
      <c r="D583" s="1539"/>
      <c r="E583" s="1539"/>
      <c r="F583" s="1473"/>
      <c r="G583" s="1510"/>
      <c r="H583" s="1478"/>
      <c r="I583" s="1473"/>
      <c r="J583" s="1473"/>
      <c r="K583" s="1473"/>
      <c r="L583" s="570" t="s">
        <v>805</v>
      </c>
      <c r="M583" s="570" t="s">
        <v>805</v>
      </c>
      <c r="N583" s="753" t="s">
        <v>1149</v>
      </c>
      <c r="O583" s="1478"/>
      <c r="P583" s="1478"/>
      <c r="Q583" s="1496"/>
    </row>
    <row r="584" spans="1:17" s="373" customFormat="1" ht="30">
      <c r="A584" s="1485" t="s">
        <v>822</v>
      </c>
      <c r="B584" s="1487" t="s">
        <v>1451</v>
      </c>
      <c r="C584" s="1599" t="s">
        <v>823</v>
      </c>
      <c r="D584" s="1607">
        <f>805+612</f>
        <v>1417</v>
      </c>
      <c r="E584" s="1628">
        <f>D584</f>
        <v>1417</v>
      </c>
      <c r="F584" s="757" t="s">
        <v>323</v>
      </c>
      <c r="G584" s="423" t="s">
        <v>1062</v>
      </c>
      <c r="H584" s="414" t="s">
        <v>280</v>
      </c>
      <c r="I584" s="756">
        <v>1</v>
      </c>
      <c r="J584" s="756">
        <f>'preturi unitare'!O31</f>
        <v>214000</v>
      </c>
      <c r="K584" s="756">
        <f t="shared" ref="K584:K590" si="59">I584*J584</f>
        <v>214000</v>
      </c>
      <c r="L584" s="411">
        <v>0</v>
      </c>
      <c r="M584" s="411">
        <f>K584</f>
        <v>214000</v>
      </c>
      <c r="N584" s="756">
        <v>0</v>
      </c>
      <c r="O584" s="1484">
        <f>SUM(K584:K586)</f>
        <v>1762800</v>
      </c>
      <c r="P584" s="1484">
        <f>O584/D584</f>
        <v>1244.0366972477063</v>
      </c>
      <c r="Q584" s="1497" t="s">
        <v>1508</v>
      </c>
    </row>
    <row r="585" spans="1:17" s="373" customFormat="1" ht="30">
      <c r="A585" s="1486"/>
      <c r="B585" s="1488"/>
      <c r="C585" s="1567"/>
      <c r="D585" s="1602"/>
      <c r="E585" s="1628"/>
      <c r="F585" s="762" t="s">
        <v>144</v>
      </c>
      <c r="G585" s="362" t="s">
        <v>1063</v>
      </c>
      <c r="H585" s="807" t="s">
        <v>160</v>
      </c>
      <c r="I585" s="776">
        <v>5000</v>
      </c>
      <c r="J585" s="776">
        <f>'preturi unitare'!H41</f>
        <v>165</v>
      </c>
      <c r="K585" s="776">
        <f t="shared" si="59"/>
        <v>825000</v>
      </c>
      <c r="L585" s="334">
        <v>0</v>
      </c>
      <c r="M585" s="411">
        <f t="shared" ref="M585:M590" si="60">K585</f>
        <v>825000</v>
      </c>
      <c r="N585" s="1280">
        <v>0</v>
      </c>
      <c r="O585" s="1483"/>
      <c r="P585" s="1483"/>
      <c r="Q585" s="1498"/>
    </row>
    <row r="586" spans="1:17" s="373" customFormat="1" ht="30">
      <c r="A586" s="1486"/>
      <c r="B586" s="1488"/>
      <c r="C586" s="1567"/>
      <c r="D586" s="1602"/>
      <c r="E586" s="1607"/>
      <c r="F586" s="762" t="s">
        <v>325</v>
      </c>
      <c r="G586" s="362" t="s">
        <v>824</v>
      </c>
      <c r="H586" s="807" t="s">
        <v>160</v>
      </c>
      <c r="I586" s="776">
        <v>4700</v>
      </c>
      <c r="J586" s="776">
        <f>'preturi unitare'!H40</f>
        <v>154</v>
      </c>
      <c r="K586" s="776">
        <f t="shared" si="59"/>
        <v>723800</v>
      </c>
      <c r="L586" s="334">
        <v>0</v>
      </c>
      <c r="M586" s="411">
        <f t="shared" si="60"/>
        <v>723800</v>
      </c>
      <c r="N586" s="1280">
        <v>0</v>
      </c>
      <c r="O586" s="1483"/>
      <c r="P586" s="1483"/>
      <c r="Q586" s="1499"/>
    </row>
    <row r="587" spans="1:17" s="373" customFormat="1" ht="30">
      <c r="A587" s="1486"/>
      <c r="B587" s="1488" t="s">
        <v>1451</v>
      </c>
      <c r="C587" s="1567" t="s">
        <v>825</v>
      </c>
      <c r="D587" s="1602">
        <v>874</v>
      </c>
      <c r="E587" s="1606">
        <f>D587</f>
        <v>874</v>
      </c>
      <c r="F587" s="762" t="s">
        <v>323</v>
      </c>
      <c r="G587" s="362" t="s">
        <v>1064</v>
      </c>
      <c r="H587" s="807" t="s">
        <v>280</v>
      </c>
      <c r="I587" s="776">
        <v>1</v>
      </c>
      <c r="J587" s="776">
        <f>'preturi unitare'!O28</f>
        <v>120000</v>
      </c>
      <c r="K587" s="776">
        <f t="shared" si="59"/>
        <v>120000</v>
      </c>
      <c r="L587" s="334">
        <v>0</v>
      </c>
      <c r="M587" s="411">
        <f t="shared" si="60"/>
        <v>120000</v>
      </c>
      <c r="N587" s="1280">
        <v>0</v>
      </c>
      <c r="O587" s="1483">
        <f>SUM(M587:M588)</f>
        <v>890000</v>
      </c>
      <c r="P587" s="1483">
        <f>O587/D587</f>
        <v>1018.3066361556064</v>
      </c>
      <c r="Q587" s="1500" t="s">
        <v>1509</v>
      </c>
    </row>
    <row r="588" spans="1:17" s="373" customFormat="1" ht="30">
      <c r="A588" s="1486"/>
      <c r="B588" s="1488"/>
      <c r="C588" s="1567"/>
      <c r="D588" s="1602"/>
      <c r="E588" s="1607"/>
      <c r="F588" s="762" t="s">
        <v>325</v>
      </c>
      <c r="G588" s="362" t="s">
        <v>826</v>
      </c>
      <c r="H588" s="807" t="s">
        <v>160</v>
      </c>
      <c r="I588" s="776">
        <v>5000</v>
      </c>
      <c r="J588" s="776">
        <f>'preturi unitare'!H40</f>
        <v>154</v>
      </c>
      <c r="K588" s="776">
        <f t="shared" si="59"/>
        <v>770000</v>
      </c>
      <c r="L588" s="334">
        <v>0</v>
      </c>
      <c r="M588" s="411">
        <f t="shared" si="60"/>
        <v>770000</v>
      </c>
      <c r="N588" s="1280">
        <v>0</v>
      </c>
      <c r="O588" s="1483"/>
      <c r="P588" s="1483"/>
      <c r="Q588" s="1499"/>
    </row>
    <row r="589" spans="1:17" s="373" customFormat="1" ht="30">
      <c r="A589" s="1486"/>
      <c r="B589" s="1488" t="s">
        <v>1451</v>
      </c>
      <c r="C589" s="1567" t="s">
        <v>827</v>
      </c>
      <c r="D589" s="1602">
        <v>405</v>
      </c>
      <c r="E589" s="1606">
        <f>D589</f>
        <v>405</v>
      </c>
      <c r="F589" s="762" t="s">
        <v>323</v>
      </c>
      <c r="G589" s="362" t="s">
        <v>1065</v>
      </c>
      <c r="H589" s="807" t="s">
        <v>280</v>
      </c>
      <c r="I589" s="776">
        <v>1</v>
      </c>
      <c r="J589" s="776">
        <f>'preturi unitare'!O25</f>
        <v>92000</v>
      </c>
      <c r="K589" s="776">
        <f t="shared" si="59"/>
        <v>92000</v>
      </c>
      <c r="L589" s="334">
        <v>0</v>
      </c>
      <c r="M589" s="411">
        <f t="shared" si="60"/>
        <v>92000</v>
      </c>
      <c r="N589" s="1280">
        <v>0</v>
      </c>
      <c r="O589" s="1483">
        <f>SUM(M589:M590)</f>
        <v>708000</v>
      </c>
      <c r="P589" s="1483">
        <f>O589/D589</f>
        <v>1748.148148148148</v>
      </c>
      <c r="Q589" s="1500" t="s">
        <v>1510</v>
      </c>
    </row>
    <row r="590" spans="1:17" s="373" customFormat="1" ht="30">
      <c r="A590" s="1486"/>
      <c r="B590" s="1488"/>
      <c r="C590" s="1567"/>
      <c r="D590" s="1602"/>
      <c r="E590" s="1607"/>
      <c r="F590" s="762" t="s">
        <v>325</v>
      </c>
      <c r="G590" s="362" t="s">
        <v>828</v>
      </c>
      <c r="H590" s="807" t="s">
        <v>160</v>
      </c>
      <c r="I590" s="776">
        <v>4000</v>
      </c>
      <c r="J590" s="776">
        <f>'preturi unitare'!H40</f>
        <v>154</v>
      </c>
      <c r="K590" s="776">
        <f t="shared" si="59"/>
        <v>616000</v>
      </c>
      <c r="L590" s="334">
        <v>0</v>
      </c>
      <c r="M590" s="411">
        <f t="shared" si="60"/>
        <v>616000</v>
      </c>
      <c r="N590" s="1280">
        <v>0</v>
      </c>
      <c r="O590" s="1483"/>
      <c r="P590" s="1483"/>
      <c r="Q590" s="1499"/>
    </row>
    <row r="591" spans="1:17" s="373" customFormat="1">
      <c r="A591" s="885"/>
      <c r="B591" s="761"/>
      <c r="C591" s="761"/>
      <c r="D591" s="760"/>
      <c r="E591" s="760"/>
      <c r="F591" s="762"/>
      <c r="G591" s="384"/>
      <c r="H591" s="776"/>
      <c r="I591" s="776"/>
      <c r="J591" s="776"/>
      <c r="K591" s="776"/>
      <c r="L591" s="334"/>
      <c r="M591" s="334"/>
      <c r="N591" s="326"/>
      <c r="O591" s="777"/>
      <c r="P591" s="777"/>
      <c r="Q591" s="584"/>
    </row>
    <row r="592" spans="1:17" s="373" customFormat="1">
      <c r="A592" s="1532" t="s">
        <v>436</v>
      </c>
      <c r="B592" s="1533"/>
      <c r="C592" s="1533"/>
      <c r="D592" s="1533"/>
      <c r="E592" s="1533"/>
      <c r="F592" s="1533"/>
      <c r="G592" s="1534"/>
      <c r="H592" s="364"/>
      <c r="I592" s="364"/>
      <c r="J592" s="364"/>
      <c r="K592" s="364">
        <f>SUM(K584:K590)</f>
        <v>3360800</v>
      </c>
      <c r="L592" s="365">
        <f>SUM(L584:L590)</f>
        <v>0</v>
      </c>
      <c r="M592" s="365">
        <f>SUM(M584:M590)</f>
        <v>3360800</v>
      </c>
      <c r="N592" s="408">
        <f>SUM(N584:N590)</f>
        <v>0</v>
      </c>
      <c r="O592" s="776"/>
      <c r="P592" s="776"/>
      <c r="Q592" s="584"/>
    </row>
    <row r="593" spans="1:19" s="373" customFormat="1">
      <c r="A593" s="885"/>
      <c r="B593" s="782"/>
      <c r="C593" s="782"/>
      <c r="D593" s="763"/>
      <c r="E593" s="763"/>
      <c r="F593" s="762"/>
      <c r="G593" s="328"/>
      <c r="H593" s="776"/>
      <c r="I593" s="776"/>
      <c r="J593" s="776"/>
      <c r="K593" s="776"/>
      <c r="L593" s="334"/>
      <c r="M593" s="334"/>
      <c r="N593" s="776"/>
      <c r="O593" s="776"/>
      <c r="P593" s="776"/>
      <c r="Q593" s="584"/>
    </row>
    <row r="594" spans="1:19" s="373" customFormat="1" ht="15.75" customHeight="1" thickBot="1">
      <c r="A594" s="1474" t="s">
        <v>437</v>
      </c>
      <c r="B594" s="1475"/>
      <c r="C594" s="1475"/>
      <c r="D594" s="1475"/>
      <c r="E594" s="1475"/>
      <c r="F594" s="1475"/>
      <c r="G594" s="1476"/>
      <c r="H594" s="581"/>
      <c r="I594" s="581"/>
      <c r="J594" s="581"/>
      <c r="K594" s="582">
        <f>K592+K580</f>
        <v>3360800</v>
      </c>
      <c r="L594" s="583">
        <f>L592+L580</f>
        <v>0</v>
      </c>
      <c r="M594" s="583">
        <f>M592+M580</f>
        <v>3360800</v>
      </c>
      <c r="N594" s="582">
        <f>N592</f>
        <v>0</v>
      </c>
      <c r="O594" s="581"/>
      <c r="P594" s="581"/>
      <c r="Q594" s="886"/>
    </row>
    <row r="595" spans="1:19" s="373" customFormat="1" ht="15.75" thickBot="1">
      <c r="A595" s="876"/>
      <c r="B595" s="899"/>
      <c r="C595" s="899"/>
      <c r="D595" s="899"/>
      <c r="E595" s="899"/>
      <c r="F595" s="900"/>
      <c r="G595" s="897"/>
      <c r="H595" s="901"/>
      <c r="I595" s="900"/>
      <c r="J595" s="900"/>
      <c r="K595" s="900"/>
      <c r="L595" s="902"/>
      <c r="M595" s="902"/>
      <c r="N595" s="900"/>
      <c r="O595" s="876"/>
      <c r="P595" s="876"/>
      <c r="Q595" s="876"/>
    </row>
    <row r="596" spans="1:19" s="373" customFormat="1" ht="15.75" thickBot="1">
      <c r="A596" s="882"/>
      <c r="B596" s="639"/>
      <c r="C596" s="639"/>
      <c r="D596" s="639"/>
      <c r="E596" s="639"/>
      <c r="F596" s="846"/>
      <c r="G596" s="577" t="s">
        <v>1895</v>
      </c>
      <c r="H596" s="872"/>
      <c r="I596" s="873"/>
      <c r="J596" s="853"/>
      <c r="K596" s="639"/>
      <c r="L596" s="640"/>
      <c r="M596" s="640"/>
      <c r="N596" s="639"/>
      <c r="O596" s="712"/>
      <c r="P596" s="712"/>
      <c r="Q596" s="883"/>
    </row>
    <row r="597" spans="1:19" s="373" customFormat="1" ht="15.75" thickBot="1">
      <c r="A597" s="884"/>
      <c r="B597" s="355"/>
      <c r="C597" s="355"/>
      <c r="D597" s="355"/>
      <c r="E597" s="355"/>
      <c r="F597" s="356"/>
      <c r="G597" s="576"/>
      <c r="H597" s="358"/>
      <c r="I597" s="358"/>
      <c r="J597" s="358"/>
      <c r="K597" s="358"/>
      <c r="L597" s="359"/>
      <c r="M597" s="359"/>
      <c r="N597" s="358"/>
      <c r="O597" s="732"/>
      <c r="P597" s="732"/>
      <c r="Q597" s="862"/>
    </row>
    <row r="598" spans="1:19" s="373" customFormat="1" ht="60">
      <c r="A598" s="1562" t="s">
        <v>632</v>
      </c>
      <c r="B598" s="1538" t="s">
        <v>676</v>
      </c>
      <c r="C598" s="1538" t="s">
        <v>610</v>
      </c>
      <c r="D598" s="1538" t="s">
        <v>611</v>
      </c>
      <c r="E598" s="1538" t="s">
        <v>1453</v>
      </c>
      <c r="F598" s="1472" t="s">
        <v>159</v>
      </c>
      <c r="G598" s="1509" t="s">
        <v>110</v>
      </c>
      <c r="H598" s="1477" t="s">
        <v>316</v>
      </c>
      <c r="I598" s="1472" t="s">
        <v>315</v>
      </c>
      <c r="J598" s="1472" t="s">
        <v>317</v>
      </c>
      <c r="K598" s="1472" t="s">
        <v>318</v>
      </c>
      <c r="L598" s="569" t="s">
        <v>1443</v>
      </c>
      <c r="M598" s="569" t="s">
        <v>1444</v>
      </c>
      <c r="N598" s="752" t="s">
        <v>1445</v>
      </c>
      <c r="O598" s="1477" t="s">
        <v>652</v>
      </c>
      <c r="P598" s="1477" t="s">
        <v>1307</v>
      </c>
      <c r="Q598" s="1495" t="s">
        <v>1454</v>
      </c>
    </row>
    <row r="599" spans="1:19" s="373" customFormat="1" ht="15.75" thickBot="1">
      <c r="A599" s="1563"/>
      <c r="B599" s="1539"/>
      <c r="C599" s="1539"/>
      <c r="D599" s="1539"/>
      <c r="E599" s="1539"/>
      <c r="F599" s="1473"/>
      <c r="G599" s="1510"/>
      <c r="H599" s="1478"/>
      <c r="I599" s="1473"/>
      <c r="J599" s="1473"/>
      <c r="K599" s="1473"/>
      <c r="L599" s="570" t="s">
        <v>805</v>
      </c>
      <c r="M599" s="570" t="s">
        <v>805</v>
      </c>
      <c r="N599" s="753" t="s">
        <v>1149</v>
      </c>
      <c r="O599" s="1478"/>
      <c r="P599" s="1478"/>
      <c r="Q599" s="1496"/>
    </row>
    <row r="600" spans="1:19" s="373" customFormat="1" hidden="1">
      <c r="A600" s="896"/>
      <c r="B600" s="1599" t="s">
        <v>1474</v>
      </c>
      <c r="C600" s="1487" t="s">
        <v>690</v>
      </c>
      <c r="D600" s="1607">
        <v>5900</v>
      </c>
      <c r="E600" s="758"/>
      <c r="F600" s="757"/>
      <c r="G600" s="412"/>
      <c r="H600" s="414"/>
      <c r="I600" s="756"/>
      <c r="J600" s="756"/>
      <c r="K600" s="764"/>
      <c r="L600" s="835"/>
      <c r="M600" s="893"/>
      <c r="N600" s="903"/>
      <c r="O600" s="1465">
        <f>SUM(K600:K602)</f>
        <v>1246800</v>
      </c>
      <c r="P600" s="1465">
        <f>O600/D600</f>
        <v>211.32203389830508</v>
      </c>
      <c r="Q600" s="861"/>
    </row>
    <row r="601" spans="1:19" s="373" customFormat="1" ht="30">
      <c r="A601" s="1749" t="s">
        <v>690</v>
      </c>
      <c r="B601" s="1567"/>
      <c r="C601" s="1488"/>
      <c r="D601" s="1602"/>
      <c r="E601" s="1606" t="s">
        <v>1451</v>
      </c>
      <c r="F601" s="762" t="s">
        <v>320</v>
      </c>
      <c r="G601" s="329" t="s">
        <v>1245</v>
      </c>
      <c r="H601" s="807" t="s">
        <v>160</v>
      </c>
      <c r="I601" s="776">
        <v>7000</v>
      </c>
      <c r="J601" s="776">
        <f>'preturi unitare'!H27</f>
        <v>158</v>
      </c>
      <c r="K601" s="1345">
        <f>I601*J601</f>
        <v>1106000</v>
      </c>
      <c r="L601" s="401">
        <f>K601</f>
        <v>1106000</v>
      </c>
      <c r="M601" s="627">
        <v>0</v>
      </c>
      <c r="N601" s="625">
        <v>0</v>
      </c>
      <c r="O601" s="1482"/>
      <c r="P601" s="1482"/>
      <c r="Q601" s="1500" t="s">
        <v>1625</v>
      </c>
    </row>
    <row r="602" spans="1:19" s="373" customFormat="1" ht="50.25" customHeight="1">
      <c r="A602" s="1632"/>
      <c r="B602" s="1567"/>
      <c r="C602" s="1488"/>
      <c r="D602" s="1602"/>
      <c r="E602" s="1607"/>
      <c r="F602" s="762" t="s">
        <v>322</v>
      </c>
      <c r="G602" s="329" t="s">
        <v>507</v>
      </c>
      <c r="H602" s="807" t="s">
        <v>160</v>
      </c>
      <c r="I602" s="776">
        <v>2200</v>
      </c>
      <c r="J602" s="776">
        <f>J1072</f>
        <v>64</v>
      </c>
      <c r="K602" s="1344">
        <f>I602*J602</f>
        <v>140800</v>
      </c>
      <c r="L602" s="334">
        <f>K602</f>
        <v>140800</v>
      </c>
      <c r="M602" s="334">
        <v>0</v>
      </c>
      <c r="N602" s="377">
        <v>0</v>
      </c>
      <c r="O602" s="1482"/>
      <c r="P602" s="1482"/>
      <c r="Q602" s="1640"/>
    </row>
    <row r="603" spans="1:19" s="373" customFormat="1">
      <c r="A603" s="885"/>
      <c r="B603" s="326"/>
      <c r="C603" s="326"/>
      <c r="D603" s="326"/>
      <c r="E603" s="326"/>
      <c r="F603" s="326"/>
      <c r="G603" s="326"/>
      <c r="H603" s="326"/>
      <c r="I603" s="776"/>
      <c r="J603" s="776"/>
      <c r="K603" s="776"/>
      <c r="L603" s="334"/>
      <c r="M603" s="334"/>
      <c r="N603" s="326"/>
      <c r="O603" s="776"/>
      <c r="P603" s="776"/>
      <c r="Q603" s="584"/>
    </row>
    <row r="604" spans="1:19" s="373" customFormat="1">
      <c r="A604" s="1469" t="s">
        <v>486</v>
      </c>
      <c r="B604" s="1470"/>
      <c r="C604" s="1470"/>
      <c r="D604" s="1470"/>
      <c r="E604" s="1470"/>
      <c r="F604" s="1470"/>
      <c r="G604" s="1471"/>
      <c r="H604" s="793"/>
      <c r="I604" s="776"/>
      <c r="J604" s="776"/>
      <c r="K604" s="364">
        <f>SUM(K600:K602)</f>
        <v>1246800</v>
      </c>
      <c r="L604" s="365">
        <f>SUM(L600:L602)</f>
        <v>1246800</v>
      </c>
      <c r="M604" s="365">
        <f>SUM(M602:M602)</f>
        <v>0</v>
      </c>
      <c r="N604" s="364">
        <f>SUM(N602:N602)</f>
        <v>0</v>
      </c>
      <c r="O604" s="776"/>
      <c r="P604" s="776"/>
      <c r="Q604" s="584"/>
      <c r="S604" s="374"/>
    </row>
    <row r="605" spans="1:19" s="373" customFormat="1" ht="15.75" thickBot="1">
      <c r="A605" s="884"/>
      <c r="B605" s="397"/>
      <c r="C605" s="397"/>
      <c r="D605" s="397"/>
      <c r="E605" s="397"/>
      <c r="F605" s="766"/>
      <c r="G605" s="417"/>
      <c r="H605" s="732"/>
      <c r="I605" s="732"/>
      <c r="J605" s="732"/>
      <c r="K605" s="732"/>
      <c r="L605" s="426"/>
      <c r="M605" s="426"/>
      <c r="N605" s="418"/>
      <c r="O605" s="732"/>
      <c r="P605" s="732"/>
      <c r="Q605" s="862"/>
    </row>
    <row r="606" spans="1:19" s="373" customFormat="1" ht="60">
      <c r="A606" s="1608" t="s">
        <v>632</v>
      </c>
      <c r="B606" s="1544" t="s">
        <v>617</v>
      </c>
      <c r="C606" s="1538" t="s">
        <v>610</v>
      </c>
      <c r="D606" s="1538" t="s">
        <v>611</v>
      </c>
      <c r="E606" s="1538" t="s">
        <v>1453</v>
      </c>
      <c r="F606" s="1472" t="s">
        <v>159</v>
      </c>
      <c r="G606" s="1509" t="s">
        <v>110</v>
      </c>
      <c r="H606" s="1477" t="s">
        <v>316</v>
      </c>
      <c r="I606" s="1472" t="s">
        <v>315</v>
      </c>
      <c r="J606" s="1472" t="s">
        <v>317</v>
      </c>
      <c r="K606" s="1472" t="s">
        <v>318</v>
      </c>
      <c r="L606" s="569" t="s">
        <v>1443</v>
      </c>
      <c r="M606" s="569" t="s">
        <v>1444</v>
      </c>
      <c r="N606" s="752" t="s">
        <v>1445</v>
      </c>
      <c r="O606" s="1477" t="s">
        <v>1673</v>
      </c>
      <c r="P606" s="1477" t="s">
        <v>1307</v>
      </c>
      <c r="Q606" s="1495" t="s">
        <v>1454</v>
      </c>
    </row>
    <row r="607" spans="1:19" s="373" customFormat="1" ht="15.75" thickBot="1">
      <c r="A607" s="1609"/>
      <c r="B607" s="1545"/>
      <c r="C607" s="1539"/>
      <c r="D607" s="1539"/>
      <c r="E607" s="1539"/>
      <c r="F607" s="1473"/>
      <c r="G607" s="1510"/>
      <c r="H607" s="1478"/>
      <c r="I607" s="1473"/>
      <c r="J607" s="1473"/>
      <c r="K607" s="1473"/>
      <c r="L607" s="570" t="s">
        <v>805</v>
      </c>
      <c r="M607" s="570" t="s">
        <v>805</v>
      </c>
      <c r="N607" s="753" t="s">
        <v>1149</v>
      </c>
      <c r="O607" s="1478"/>
      <c r="P607" s="1478"/>
      <c r="Q607" s="1496"/>
    </row>
    <row r="608" spans="1:19" s="373" customFormat="1" ht="75">
      <c r="A608" s="904" t="s">
        <v>690</v>
      </c>
      <c r="B608" s="765" t="s">
        <v>1475</v>
      </c>
      <c r="C608" s="759" t="s">
        <v>690</v>
      </c>
      <c r="D608" s="758">
        <f>D600</f>
        <v>5900</v>
      </c>
      <c r="E608" s="758">
        <f>1.15*D608</f>
        <v>6784.9999999999991</v>
      </c>
      <c r="F608" s="757" t="s">
        <v>325</v>
      </c>
      <c r="G608" s="412" t="s">
        <v>508</v>
      </c>
      <c r="H608" s="414" t="s">
        <v>160</v>
      </c>
      <c r="I608" s="756">
        <v>7400</v>
      </c>
      <c r="J608" s="756">
        <f>'preturi unitare'!H40</f>
        <v>154</v>
      </c>
      <c r="K608" s="756">
        <f>I608*J608</f>
        <v>1139600</v>
      </c>
      <c r="L608" s="411">
        <f>K608</f>
        <v>1139600</v>
      </c>
      <c r="M608" s="411">
        <v>0</v>
      </c>
      <c r="N608" s="756">
        <v>0</v>
      </c>
      <c r="O608" s="756">
        <f>K610</f>
        <v>1139600</v>
      </c>
      <c r="P608" s="756">
        <f>O608/D608</f>
        <v>193.15254237288136</v>
      </c>
      <c r="Q608" s="969" t="s">
        <v>1626</v>
      </c>
    </row>
    <row r="609" spans="1:19" s="373" customFormat="1">
      <c r="A609" s="905"/>
      <c r="B609" s="761"/>
      <c r="C609" s="761"/>
      <c r="D609" s="761"/>
      <c r="E609" s="761"/>
      <c r="F609" s="762"/>
      <c r="G609" s="384"/>
      <c r="H609" s="776"/>
      <c r="I609" s="776"/>
      <c r="J609" s="776"/>
      <c r="K609" s="776"/>
      <c r="L609" s="334"/>
      <c r="M609" s="334"/>
      <c r="N609" s="326"/>
      <c r="O609" s="776"/>
      <c r="P609" s="776"/>
      <c r="Q609" s="584"/>
    </row>
    <row r="610" spans="1:19" s="373" customFormat="1">
      <c r="A610" s="1532" t="s">
        <v>487</v>
      </c>
      <c r="B610" s="1533"/>
      <c r="C610" s="1533"/>
      <c r="D610" s="1533"/>
      <c r="E610" s="1533"/>
      <c r="F610" s="1533"/>
      <c r="G610" s="1534"/>
      <c r="H610" s="364"/>
      <c r="I610" s="364"/>
      <c r="J610" s="364"/>
      <c r="K610" s="364">
        <f>SUM(K608:K608)</f>
        <v>1139600</v>
      </c>
      <c r="L610" s="365">
        <f>SUM(L608:L608)</f>
        <v>1139600</v>
      </c>
      <c r="M610" s="365">
        <f>SUM(M608)</f>
        <v>0</v>
      </c>
      <c r="N610" s="364">
        <f>SUM(N608:N608)</f>
        <v>0</v>
      </c>
      <c r="O610" s="776"/>
      <c r="P610" s="776"/>
      <c r="Q610" s="584"/>
    </row>
    <row r="611" spans="1:19" s="373" customFormat="1">
      <c r="A611" s="885"/>
      <c r="B611" s="782"/>
      <c r="C611" s="782"/>
      <c r="D611" s="782"/>
      <c r="E611" s="782"/>
      <c r="F611" s="762"/>
      <c r="G611" s="328"/>
      <c r="H611" s="776"/>
      <c r="I611" s="776"/>
      <c r="J611" s="776"/>
      <c r="K611" s="776"/>
      <c r="L611" s="334"/>
      <c r="M611" s="334"/>
      <c r="N611" s="776"/>
      <c r="O611" s="776"/>
      <c r="P611" s="776"/>
      <c r="Q611" s="584"/>
    </row>
    <row r="612" spans="1:19" s="373" customFormat="1" ht="15" customHeight="1" thickBot="1">
      <c r="A612" s="1474" t="s">
        <v>488</v>
      </c>
      <c r="B612" s="1475"/>
      <c r="C612" s="1475"/>
      <c r="D612" s="1475"/>
      <c r="E612" s="1475"/>
      <c r="F612" s="1475"/>
      <c r="G612" s="1476"/>
      <c r="H612" s="581"/>
      <c r="I612" s="581"/>
      <c r="J612" s="581"/>
      <c r="K612" s="582">
        <f>K610+K604</f>
        <v>2386400</v>
      </c>
      <c r="L612" s="583">
        <f>L610+L604</f>
        <v>2386400</v>
      </c>
      <c r="M612" s="583">
        <f>M610+M604</f>
        <v>0</v>
      </c>
      <c r="N612" s="582">
        <f>N610+N604</f>
        <v>0</v>
      </c>
      <c r="O612" s="581"/>
      <c r="P612" s="581"/>
      <c r="Q612" s="886"/>
    </row>
    <row r="613" spans="1:19" s="373" customFormat="1" ht="15.75" thickBot="1">
      <c r="A613" s="876"/>
      <c r="B613" s="871"/>
      <c r="C613" s="871"/>
      <c r="D613" s="871"/>
      <c r="E613" s="871"/>
      <c r="F613" s="595"/>
      <c r="G613" s="595"/>
      <c r="H613" s="716"/>
      <c r="I613" s="716"/>
      <c r="J613" s="716"/>
      <c r="K613" s="626"/>
      <c r="L613" s="592"/>
      <c r="M613" s="592"/>
      <c r="N613" s="626"/>
      <c r="O613" s="716"/>
      <c r="P613" s="716"/>
      <c r="Q613" s="876"/>
    </row>
    <row r="614" spans="1:19" s="373" customFormat="1" ht="15.75" thickBot="1">
      <c r="A614" s="882"/>
      <c r="B614" s="639"/>
      <c r="C614" s="639"/>
      <c r="D614" s="639"/>
      <c r="E614" s="639"/>
      <c r="F614" s="846"/>
      <c r="G614" s="577" t="s">
        <v>1896</v>
      </c>
      <c r="H614" s="872"/>
      <c r="I614" s="873"/>
      <c r="J614" s="853"/>
      <c r="K614" s="639"/>
      <c r="L614" s="640"/>
      <c r="M614" s="640"/>
      <c r="N614" s="639"/>
      <c r="O614" s="712"/>
      <c r="P614" s="712"/>
      <c r="Q614" s="883"/>
    </row>
    <row r="615" spans="1:19" s="373" customFormat="1" ht="15.75" thickBot="1">
      <c r="A615" s="884"/>
      <c r="B615" s="355"/>
      <c r="C615" s="355"/>
      <c r="D615" s="355"/>
      <c r="E615" s="355"/>
      <c r="F615" s="356"/>
      <c r="G615" s="576"/>
      <c r="H615" s="358"/>
      <c r="I615" s="358"/>
      <c r="J615" s="358"/>
      <c r="K615" s="358"/>
      <c r="L615" s="359"/>
      <c r="M615" s="359"/>
      <c r="N615" s="358"/>
      <c r="O615" s="732"/>
      <c r="P615" s="732"/>
      <c r="Q615" s="862"/>
    </row>
    <row r="616" spans="1:19" s="373" customFormat="1" ht="60">
      <c r="A616" s="1562" t="s">
        <v>632</v>
      </c>
      <c r="B616" s="1538" t="s">
        <v>676</v>
      </c>
      <c r="C616" s="1538" t="s">
        <v>610</v>
      </c>
      <c r="D616" s="1538" t="s">
        <v>611</v>
      </c>
      <c r="E616" s="1538" t="s">
        <v>1453</v>
      </c>
      <c r="F616" s="1472" t="s">
        <v>159</v>
      </c>
      <c r="G616" s="1509" t="s">
        <v>110</v>
      </c>
      <c r="H616" s="1477" t="s">
        <v>316</v>
      </c>
      <c r="I616" s="1472" t="s">
        <v>315</v>
      </c>
      <c r="J616" s="1472" t="s">
        <v>317</v>
      </c>
      <c r="K616" s="1472" t="s">
        <v>318</v>
      </c>
      <c r="L616" s="569" t="s">
        <v>1443</v>
      </c>
      <c r="M616" s="569" t="s">
        <v>1444</v>
      </c>
      <c r="N616" s="752" t="s">
        <v>1445</v>
      </c>
      <c r="O616" s="1477" t="s">
        <v>1673</v>
      </c>
      <c r="P616" s="1477" t="s">
        <v>1307</v>
      </c>
      <c r="Q616" s="1495" t="s">
        <v>1454</v>
      </c>
    </row>
    <row r="617" spans="1:19" s="373" customFormat="1" ht="15.75" thickBot="1">
      <c r="A617" s="1563"/>
      <c r="B617" s="1539"/>
      <c r="C617" s="1539"/>
      <c r="D617" s="1539"/>
      <c r="E617" s="1539"/>
      <c r="F617" s="1473"/>
      <c r="G617" s="1510"/>
      <c r="H617" s="1478"/>
      <c r="I617" s="1473"/>
      <c r="J617" s="1473"/>
      <c r="K617" s="1473"/>
      <c r="L617" s="570" t="s">
        <v>805</v>
      </c>
      <c r="M617" s="570" t="s">
        <v>805</v>
      </c>
      <c r="N617" s="753" t="s">
        <v>1149</v>
      </c>
      <c r="O617" s="1478"/>
      <c r="P617" s="1478"/>
      <c r="Q617" s="1496"/>
    </row>
    <row r="618" spans="1:19" s="373" customFormat="1" ht="48" customHeight="1">
      <c r="A618" s="1630" t="s">
        <v>691</v>
      </c>
      <c r="B618" s="1599" t="s">
        <v>1474</v>
      </c>
      <c r="C618" s="1487" t="s">
        <v>691</v>
      </c>
      <c r="D618" s="1598">
        <v>6109</v>
      </c>
      <c r="E618" s="1628" t="s">
        <v>1451</v>
      </c>
      <c r="F618" s="757" t="s">
        <v>319</v>
      </c>
      <c r="G618" s="412" t="s">
        <v>1512</v>
      </c>
      <c r="H618" s="414" t="s">
        <v>280</v>
      </c>
      <c r="I618" s="756">
        <v>1</v>
      </c>
      <c r="J618" s="756">
        <v>2700000</v>
      </c>
      <c r="K618" s="764">
        <f>I618*J618</f>
        <v>2700000</v>
      </c>
      <c r="L618" s="411">
        <f>K618</f>
        <v>2700000</v>
      </c>
      <c r="M618" s="411">
        <v>0</v>
      </c>
      <c r="N618" s="424">
        <v>0</v>
      </c>
      <c r="O618" s="1465">
        <f>SUM(L618:L619)</f>
        <v>2906000</v>
      </c>
      <c r="P618" s="1465">
        <f>O618/D618</f>
        <v>475.69160255360941</v>
      </c>
      <c r="Q618" s="1497" t="s">
        <v>1511</v>
      </c>
    </row>
    <row r="619" spans="1:19" s="373" customFormat="1" ht="44.25" customHeight="1">
      <c r="A619" s="1632"/>
      <c r="B619" s="1567"/>
      <c r="C619" s="1488"/>
      <c r="D619" s="1577"/>
      <c r="E619" s="1598"/>
      <c r="F619" s="665" t="s">
        <v>322</v>
      </c>
      <c r="G619" s="362" t="s">
        <v>1383</v>
      </c>
      <c r="H619" s="807" t="s">
        <v>160</v>
      </c>
      <c r="I619" s="776">
        <v>2000</v>
      </c>
      <c r="J619" s="776">
        <f>'preturi unitare'!J25</f>
        <v>103</v>
      </c>
      <c r="K619" s="776">
        <f>I619*J619</f>
        <v>206000</v>
      </c>
      <c r="L619" s="334">
        <f>K619</f>
        <v>206000</v>
      </c>
      <c r="M619" s="334">
        <v>0</v>
      </c>
      <c r="N619" s="377">
        <v>0</v>
      </c>
      <c r="O619" s="1482"/>
      <c r="P619" s="1482"/>
      <c r="Q619" s="1640"/>
    </row>
    <row r="620" spans="1:19" s="373" customFormat="1">
      <c r="A620" s="1143"/>
      <c r="B620" s="1144"/>
      <c r="C620" s="1145"/>
      <c r="D620" s="1146"/>
      <c r="E620" s="1147"/>
      <c r="F620" s="1148"/>
      <c r="G620" s="1149"/>
      <c r="H620" s="807"/>
      <c r="I620" s="1060"/>
      <c r="J620" s="1060"/>
      <c r="K620" s="1060"/>
      <c r="L620" s="334"/>
      <c r="M620" s="334"/>
      <c r="N620" s="377"/>
      <c r="O620" s="1060"/>
      <c r="P620" s="1060"/>
      <c r="Q620" s="1075"/>
    </row>
    <row r="621" spans="1:19" s="373" customFormat="1">
      <c r="A621" s="1469" t="s">
        <v>489</v>
      </c>
      <c r="B621" s="1470"/>
      <c r="C621" s="1470"/>
      <c r="D621" s="1470"/>
      <c r="E621" s="1470"/>
      <c r="F621" s="1470"/>
      <c r="G621" s="1471"/>
      <c r="H621" s="793"/>
      <c r="I621" s="776"/>
      <c r="J621" s="776"/>
      <c r="K621" s="364">
        <f>SUM(K618:K619)</f>
        <v>2906000</v>
      </c>
      <c r="L621" s="365">
        <f>SUM(L618:L619)</f>
        <v>2906000</v>
      </c>
      <c r="M621" s="365">
        <f>SUM(M618:M618)</f>
        <v>0</v>
      </c>
      <c r="N621" s="364">
        <f>SUM(N618:N618)</f>
        <v>0</v>
      </c>
      <c r="O621" s="776"/>
      <c r="P621" s="776"/>
      <c r="Q621" s="584"/>
      <c r="S621" s="374"/>
    </row>
    <row r="622" spans="1:19" s="373" customFormat="1">
      <c r="A622" s="885"/>
      <c r="B622" s="782"/>
      <c r="C622" s="782"/>
      <c r="D622" s="782"/>
      <c r="E622" s="782"/>
      <c r="F622" s="762"/>
      <c r="G622" s="328"/>
      <c r="H622" s="776"/>
      <c r="I622" s="776"/>
      <c r="J622" s="776"/>
      <c r="K622" s="776"/>
      <c r="L622" s="334"/>
      <c r="M622" s="334"/>
      <c r="N622" s="776"/>
      <c r="O622" s="776"/>
      <c r="P622" s="776"/>
      <c r="Q622" s="584"/>
    </row>
    <row r="623" spans="1:19" s="373" customFormat="1" ht="15" customHeight="1" thickBot="1">
      <c r="A623" s="1474" t="s">
        <v>490</v>
      </c>
      <c r="B623" s="1475"/>
      <c r="C623" s="1475"/>
      <c r="D623" s="1475"/>
      <c r="E623" s="1475"/>
      <c r="F623" s="1475"/>
      <c r="G623" s="1476"/>
      <c r="H623" s="581"/>
      <c r="I623" s="581"/>
      <c r="J623" s="581"/>
      <c r="K623" s="582">
        <f>K621</f>
        <v>2906000</v>
      </c>
      <c r="L623" s="583">
        <f>L621</f>
        <v>2906000</v>
      </c>
      <c r="M623" s="583">
        <f>M621</f>
        <v>0</v>
      </c>
      <c r="N623" s="582">
        <f>N621</f>
        <v>0</v>
      </c>
      <c r="O623" s="581"/>
      <c r="P623" s="581"/>
      <c r="Q623" s="886"/>
    </row>
    <row r="624" spans="1:19" s="373" customFormat="1" ht="15.75" thickBot="1">
      <c r="A624" s="876"/>
      <c r="B624" s="899"/>
      <c r="C624" s="899"/>
      <c r="D624" s="899"/>
      <c r="E624" s="899"/>
      <c r="F624" s="900"/>
      <c r="G624" s="897"/>
      <c r="H624" s="901"/>
      <c r="I624" s="900"/>
      <c r="J624" s="900"/>
      <c r="K624" s="900"/>
      <c r="L624" s="902"/>
      <c r="M624" s="902"/>
      <c r="N624" s="900"/>
      <c r="O624" s="876"/>
      <c r="P624" s="876"/>
      <c r="Q624" s="876"/>
    </row>
    <row r="625" spans="1:19" s="373" customFormat="1" ht="15.75" thickBot="1">
      <c r="A625" s="882"/>
      <c r="B625" s="639"/>
      <c r="C625" s="639"/>
      <c r="D625" s="639"/>
      <c r="E625" s="639"/>
      <c r="F625" s="846"/>
      <c r="G625" s="577" t="s">
        <v>1897</v>
      </c>
      <c r="H625" s="872"/>
      <c r="I625" s="873"/>
      <c r="J625" s="853"/>
      <c r="K625" s="639"/>
      <c r="L625" s="640"/>
      <c r="M625" s="640"/>
      <c r="N625" s="639"/>
      <c r="O625" s="712"/>
      <c r="P625" s="712"/>
      <c r="Q625" s="883"/>
    </row>
    <row r="626" spans="1:19" s="373" customFormat="1" ht="15.75" thickBot="1">
      <c r="A626" s="884"/>
      <c r="B626" s="355"/>
      <c r="C626" s="355"/>
      <c r="D626" s="355"/>
      <c r="E626" s="355"/>
      <c r="F626" s="356"/>
      <c r="G626" s="576"/>
      <c r="H626" s="358"/>
      <c r="I626" s="358"/>
      <c r="J626" s="358"/>
      <c r="K626" s="358"/>
      <c r="L626" s="359"/>
      <c r="M626" s="359"/>
      <c r="N626" s="358"/>
      <c r="O626" s="732"/>
      <c r="P626" s="732"/>
      <c r="Q626" s="862"/>
    </row>
    <row r="627" spans="1:19" s="373" customFormat="1" ht="60">
      <c r="A627" s="1562" t="s">
        <v>1472</v>
      </c>
      <c r="B627" s="1538" t="s">
        <v>676</v>
      </c>
      <c r="C627" s="1538" t="s">
        <v>610</v>
      </c>
      <c r="D627" s="1538" t="s">
        <v>611</v>
      </c>
      <c r="E627" s="1538" t="s">
        <v>1453</v>
      </c>
      <c r="F627" s="1472" t="s">
        <v>159</v>
      </c>
      <c r="G627" s="1509" t="s">
        <v>110</v>
      </c>
      <c r="H627" s="1477" t="s">
        <v>316</v>
      </c>
      <c r="I627" s="1472" t="s">
        <v>315</v>
      </c>
      <c r="J627" s="1472" t="s">
        <v>317</v>
      </c>
      <c r="K627" s="1472" t="s">
        <v>318</v>
      </c>
      <c r="L627" s="569" t="s">
        <v>1443</v>
      </c>
      <c r="M627" s="569" t="s">
        <v>1444</v>
      </c>
      <c r="N627" s="752" t="s">
        <v>1445</v>
      </c>
      <c r="O627" s="1477" t="s">
        <v>1673</v>
      </c>
      <c r="P627" s="1477" t="s">
        <v>1307</v>
      </c>
      <c r="Q627" s="1495" t="s">
        <v>1454</v>
      </c>
    </row>
    <row r="628" spans="1:19" s="373" customFormat="1" ht="15.75" thickBot="1">
      <c r="A628" s="1563"/>
      <c r="B628" s="1539"/>
      <c r="C628" s="1539"/>
      <c r="D628" s="1539"/>
      <c r="E628" s="1539"/>
      <c r="F628" s="1473"/>
      <c r="G628" s="1510"/>
      <c r="H628" s="1478"/>
      <c r="I628" s="1473"/>
      <c r="J628" s="1473"/>
      <c r="K628" s="1473"/>
      <c r="L628" s="570" t="s">
        <v>805</v>
      </c>
      <c r="M628" s="570" t="s">
        <v>805</v>
      </c>
      <c r="N628" s="753" t="s">
        <v>1149</v>
      </c>
      <c r="O628" s="1478"/>
      <c r="P628" s="1478"/>
      <c r="Q628" s="1496"/>
    </row>
    <row r="629" spans="1:19" s="373" customFormat="1" ht="45">
      <c r="A629" s="1635" t="s">
        <v>787</v>
      </c>
      <c r="B629" s="1612" t="s">
        <v>1474</v>
      </c>
      <c r="C629" s="1599" t="s">
        <v>787</v>
      </c>
      <c r="D629" s="1598">
        <v>8645</v>
      </c>
      <c r="E629" s="1628" t="s">
        <v>1451</v>
      </c>
      <c r="F629" s="757" t="s">
        <v>140</v>
      </c>
      <c r="G629" s="412" t="s">
        <v>1246</v>
      </c>
      <c r="H629" s="422" t="s">
        <v>280</v>
      </c>
      <c r="I629" s="756">
        <v>1</v>
      </c>
      <c r="J629" s="756">
        <v>300000</v>
      </c>
      <c r="K629" s="756">
        <f>I629*J629</f>
        <v>300000</v>
      </c>
      <c r="L629" s="411">
        <f>K629</f>
        <v>300000</v>
      </c>
      <c r="M629" s="411">
        <v>0</v>
      </c>
      <c r="N629" s="433">
        <v>0</v>
      </c>
      <c r="O629" s="1465">
        <f>SUM(L629:L636)</f>
        <v>460000</v>
      </c>
      <c r="P629" s="1465">
        <f>O629/D629</f>
        <v>53.209947946790052</v>
      </c>
      <c r="Q629" s="861"/>
    </row>
    <row r="630" spans="1:19" s="373" customFormat="1" ht="30">
      <c r="A630" s="1568"/>
      <c r="B630" s="1701"/>
      <c r="C630" s="1701"/>
      <c r="D630" s="1577"/>
      <c r="E630" s="1627"/>
      <c r="F630" s="1600" t="s">
        <v>322</v>
      </c>
      <c r="G630" s="329" t="s">
        <v>788</v>
      </c>
      <c r="H630" s="807" t="s">
        <v>160</v>
      </c>
      <c r="I630" s="776">
        <v>2500</v>
      </c>
      <c r="J630" s="776">
        <f>'preturi unitare'!H22</f>
        <v>64</v>
      </c>
      <c r="K630" s="776">
        <f>I630*J630</f>
        <v>160000</v>
      </c>
      <c r="L630" s="334">
        <f>K630</f>
        <v>160000</v>
      </c>
      <c r="M630" s="334">
        <v>0</v>
      </c>
      <c r="N630" s="376">
        <v>0</v>
      </c>
      <c r="O630" s="1482"/>
      <c r="P630" s="1482"/>
      <c r="Q630" s="973" t="s">
        <v>1627</v>
      </c>
    </row>
    <row r="631" spans="1:19" s="373" customFormat="1" ht="30">
      <c r="A631" s="1568"/>
      <c r="B631" s="1701"/>
      <c r="C631" s="1701"/>
      <c r="D631" s="1577"/>
      <c r="E631" s="1627"/>
      <c r="F631" s="1600"/>
      <c r="G631" s="329" t="s">
        <v>790</v>
      </c>
      <c r="H631" s="807" t="s">
        <v>160</v>
      </c>
      <c r="I631" s="776">
        <v>1000</v>
      </c>
      <c r="J631" s="776">
        <f>'preturi unitare'!J22</f>
        <v>71</v>
      </c>
      <c r="K631" s="776">
        <f>I631*J631</f>
        <v>71000</v>
      </c>
      <c r="L631" s="334">
        <v>0</v>
      </c>
      <c r="M631" s="334">
        <f t="shared" ref="M631:M636" si="61">K631</f>
        <v>71000</v>
      </c>
      <c r="N631" s="376">
        <v>0</v>
      </c>
      <c r="O631" s="1482"/>
      <c r="P631" s="1482"/>
      <c r="Q631" s="1003" t="s">
        <v>1451</v>
      </c>
    </row>
    <row r="632" spans="1:19" s="373" customFormat="1" ht="30">
      <c r="A632" s="1568"/>
      <c r="B632" s="1701"/>
      <c r="C632" s="1701"/>
      <c r="D632" s="1577"/>
      <c r="E632" s="1627"/>
      <c r="F632" s="1600"/>
      <c r="G632" s="329" t="s">
        <v>791</v>
      </c>
      <c r="H632" s="807" t="s">
        <v>160</v>
      </c>
      <c r="I632" s="776">
        <v>2000</v>
      </c>
      <c r="J632" s="776">
        <f>'preturi unitare'!J24</f>
        <v>87</v>
      </c>
      <c r="K632" s="776">
        <f>I632*J632</f>
        <v>174000</v>
      </c>
      <c r="L632" s="334">
        <v>0</v>
      </c>
      <c r="M632" s="334">
        <f t="shared" si="61"/>
        <v>174000</v>
      </c>
      <c r="N632" s="376">
        <v>0</v>
      </c>
      <c r="O632" s="1482"/>
      <c r="P632" s="1482"/>
      <c r="Q632" s="1003" t="s">
        <v>1451</v>
      </c>
    </row>
    <row r="633" spans="1:19" s="373" customFormat="1" ht="30">
      <c r="A633" s="1568"/>
      <c r="B633" s="1701"/>
      <c r="C633" s="1701"/>
      <c r="D633" s="1577"/>
      <c r="E633" s="1627"/>
      <c r="F633" s="1600"/>
      <c r="G633" s="329" t="s">
        <v>792</v>
      </c>
      <c r="H633" s="807" t="s">
        <v>160</v>
      </c>
      <c r="I633" s="776">
        <f>2000</f>
        <v>2000</v>
      </c>
      <c r="J633" s="776">
        <f>'preturi unitare'!J26</f>
        <v>129</v>
      </c>
      <c r="K633" s="776">
        <f>J633*I633</f>
        <v>258000</v>
      </c>
      <c r="L633" s="334">
        <v>0</v>
      </c>
      <c r="M633" s="334">
        <f t="shared" si="61"/>
        <v>258000</v>
      </c>
      <c r="N633" s="376">
        <v>0</v>
      </c>
      <c r="O633" s="1482"/>
      <c r="P633" s="1482"/>
      <c r="Q633" s="1003" t="s">
        <v>1451</v>
      </c>
    </row>
    <row r="634" spans="1:19" s="373" customFormat="1">
      <c r="A634" s="1568"/>
      <c r="B634" s="1701"/>
      <c r="C634" s="1701"/>
      <c r="D634" s="1577"/>
      <c r="E634" s="1627"/>
      <c r="F634" s="1600"/>
      <c r="G634" s="329" t="s">
        <v>525</v>
      </c>
      <c r="H634" s="807" t="s">
        <v>160</v>
      </c>
      <c r="I634" s="776">
        <v>10000</v>
      </c>
      <c r="J634" s="776">
        <f>'preturi unitare'!J24</f>
        <v>87</v>
      </c>
      <c r="K634" s="776">
        <f>I634*J634</f>
        <v>870000</v>
      </c>
      <c r="L634" s="334">
        <v>0</v>
      </c>
      <c r="M634" s="334">
        <f t="shared" si="61"/>
        <v>870000</v>
      </c>
      <c r="N634" s="376">
        <v>0</v>
      </c>
      <c r="O634" s="1482"/>
      <c r="P634" s="1482"/>
      <c r="Q634" s="1004" t="s">
        <v>1451</v>
      </c>
    </row>
    <row r="635" spans="1:19" s="373" customFormat="1" ht="30">
      <c r="A635" s="1568"/>
      <c r="B635" s="1701"/>
      <c r="C635" s="1701"/>
      <c r="D635" s="1577"/>
      <c r="E635" s="1627"/>
      <c r="F635" s="1600"/>
      <c r="G635" s="329" t="s">
        <v>793</v>
      </c>
      <c r="H635" s="807" t="s">
        <v>160</v>
      </c>
      <c r="I635" s="776">
        <v>4000</v>
      </c>
      <c r="J635" s="776">
        <f>'preturi unitare'!J22</f>
        <v>71</v>
      </c>
      <c r="K635" s="776">
        <f>I635*J635</f>
        <v>284000</v>
      </c>
      <c r="L635" s="334">
        <v>0</v>
      </c>
      <c r="M635" s="334">
        <f t="shared" si="61"/>
        <v>284000</v>
      </c>
      <c r="N635" s="376">
        <v>0</v>
      </c>
      <c r="O635" s="1482"/>
      <c r="P635" s="1482"/>
      <c r="Q635" s="1003" t="s">
        <v>1451</v>
      </c>
    </row>
    <row r="636" spans="1:19" s="373" customFormat="1">
      <c r="A636" s="1568"/>
      <c r="B636" s="1701"/>
      <c r="C636" s="1701"/>
      <c r="D636" s="1577"/>
      <c r="E636" s="1598"/>
      <c r="F636" s="1600"/>
      <c r="G636" s="329" t="s">
        <v>526</v>
      </c>
      <c r="H636" s="437" t="s">
        <v>160</v>
      </c>
      <c r="I636" s="617">
        <v>6000</v>
      </c>
      <c r="J636" s="776">
        <f>J635</f>
        <v>71</v>
      </c>
      <c r="K636" s="616">
        <f>I636*J636</f>
        <v>426000</v>
      </c>
      <c r="L636" s="334">
        <v>0</v>
      </c>
      <c r="M636" s="410">
        <f t="shared" si="61"/>
        <v>426000</v>
      </c>
      <c r="N636" s="385">
        <v>0</v>
      </c>
      <c r="O636" s="1482"/>
      <c r="P636" s="1482"/>
      <c r="Q636" s="1003" t="s">
        <v>1451</v>
      </c>
    </row>
    <row r="637" spans="1:19" s="373" customFormat="1">
      <c r="A637" s="885"/>
      <c r="B637" s="326"/>
      <c r="C637" s="326"/>
      <c r="D637" s="326"/>
      <c r="E637" s="326"/>
      <c r="F637" s="326"/>
      <c r="G637" s="326"/>
      <c r="H637" s="326"/>
      <c r="I637" s="776"/>
      <c r="J637" s="776"/>
      <c r="K637" s="776"/>
      <c r="L637" s="334"/>
      <c r="M637" s="334"/>
      <c r="N637" s="326"/>
      <c r="O637" s="776"/>
      <c r="P637" s="776"/>
      <c r="Q637" s="584"/>
    </row>
    <row r="638" spans="1:19" s="373" customFormat="1">
      <c r="A638" s="1469" t="s">
        <v>491</v>
      </c>
      <c r="B638" s="1470"/>
      <c r="C638" s="1470"/>
      <c r="D638" s="1470"/>
      <c r="E638" s="1470"/>
      <c r="F638" s="1470"/>
      <c r="G638" s="1471"/>
      <c r="H638" s="793"/>
      <c r="I638" s="776"/>
      <c r="J638" s="776"/>
      <c r="K638" s="364">
        <f>SUM(K629:K636)</f>
        <v>2543000</v>
      </c>
      <c r="L638" s="365">
        <f>SUM(L629:L636)</f>
        <v>460000</v>
      </c>
      <c r="M638" s="365">
        <f>SUM(M629:M636)</f>
        <v>2083000</v>
      </c>
      <c r="N638" s="364">
        <f>SUM(N629:N636)</f>
        <v>0</v>
      </c>
      <c r="O638" s="776"/>
      <c r="P638" s="776"/>
      <c r="Q638" s="584"/>
      <c r="S638" s="374"/>
    </row>
    <row r="639" spans="1:19" s="373" customFormat="1" ht="15.75" thickBot="1">
      <c r="A639" s="884"/>
      <c r="B639" s="397"/>
      <c r="C639" s="397"/>
      <c r="D639" s="397"/>
      <c r="E639" s="397"/>
      <c r="F639" s="766"/>
      <c r="G639" s="417"/>
      <c r="H639" s="732"/>
      <c r="I639" s="732"/>
      <c r="J639" s="732"/>
      <c r="K639" s="732"/>
      <c r="L639" s="426"/>
      <c r="M639" s="426"/>
      <c r="N639" s="418"/>
      <c r="O639" s="732"/>
      <c r="P639" s="732"/>
      <c r="Q639" s="862"/>
    </row>
    <row r="640" spans="1:19" s="373" customFormat="1" ht="60">
      <c r="A640" s="1608" t="s">
        <v>1472</v>
      </c>
      <c r="B640" s="1544" t="s">
        <v>617</v>
      </c>
      <c r="C640" s="1538" t="s">
        <v>610</v>
      </c>
      <c r="D640" s="1538" t="s">
        <v>611</v>
      </c>
      <c r="E640" s="1538" t="s">
        <v>1453</v>
      </c>
      <c r="F640" s="1472" t="s">
        <v>159</v>
      </c>
      <c r="G640" s="1509" t="s">
        <v>110</v>
      </c>
      <c r="H640" s="1477" t="s">
        <v>316</v>
      </c>
      <c r="I640" s="1472" t="s">
        <v>315</v>
      </c>
      <c r="J640" s="1472" t="s">
        <v>317</v>
      </c>
      <c r="K640" s="1472" t="s">
        <v>318</v>
      </c>
      <c r="L640" s="569" t="s">
        <v>1443</v>
      </c>
      <c r="M640" s="569" t="s">
        <v>1444</v>
      </c>
      <c r="N640" s="752" t="s">
        <v>1445</v>
      </c>
      <c r="O640" s="1477" t="s">
        <v>1673</v>
      </c>
      <c r="P640" s="1477" t="s">
        <v>1307</v>
      </c>
      <c r="Q640" s="1495" t="s">
        <v>1454</v>
      </c>
    </row>
    <row r="641" spans="1:17" s="373" customFormat="1" ht="15.75" thickBot="1">
      <c r="A641" s="1609"/>
      <c r="B641" s="1545"/>
      <c r="C641" s="1539"/>
      <c r="D641" s="1539"/>
      <c r="E641" s="1539"/>
      <c r="F641" s="1473"/>
      <c r="G641" s="1510"/>
      <c r="H641" s="1478"/>
      <c r="I641" s="1473"/>
      <c r="J641" s="1473"/>
      <c r="K641" s="1473"/>
      <c r="L641" s="570" t="s">
        <v>805</v>
      </c>
      <c r="M641" s="570" t="s">
        <v>805</v>
      </c>
      <c r="N641" s="753" t="s">
        <v>1149</v>
      </c>
      <c r="O641" s="1478"/>
      <c r="P641" s="1478"/>
      <c r="Q641" s="1496"/>
    </row>
    <row r="642" spans="1:17" s="373" customFormat="1" hidden="1">
      <c r="A642" s="896"/>
      <c r="B642" s="759"/>
      <c r="C642" s="759"/>
      <c r="D642" s="759"/>
      <c r="E642" s="759"/>
      <c r="F642" s="757"/>
      <c r="G642" s="906"/>
      <c r="H642" s="414"/>
      <c r="I642" s="756"/>
      <c r="J642" s="756"/>
      <c r="K642" s="756"/>
      <c r="L642" s="427"/>
      <c r="M642" s="427"/>
      <c r="N642" s="907"/>
      <c r="O642" s="756"/>
      <c r="P642" s="756"/>
      <c r="Q642" s="861"/>
    </row>
    <row r="643" spans="1:17" s="373" customFormat="1" ht="75">
      <c r="A643" s="908" t="s">
        <v>787</v>
      </c>
      <c r="B643" s="761" t="s">
        <v>787</v>
      </c>
      <c r="C643" s="1178" t="s">
        <v>1976</v>
      </c>
      <c r="D643" s="760">
        <v>880</v>
      </c>
      <c r="E643" s="760">
        <v>880</v>
      </c>
      <c r="F643" s="762" t="s">
        <v>325</v>
      </c>
      <c r="G643" s="329" t="s">
        <v>789</v>
      </c>
      <c r="H643" s="807" t="s">
        <v>160</v>
      </c>
      <c r="I643" s="776">
        <v>4500</v>
      </c>
      <c r="J643" s="776">
        <f>'preturi unitare'!H40</f>
        <v>154</v>
      </c>
      <c r="K643" s="776">
        <f>I643*J643</f>
        <v>693000</v>
      </c>
      <c r="L643" s="334">
        <v>0</v>
      </c>
      <c r="M643" s="334">
        <v>0</v>
      </c>
      <c r="N643" s="776">
        <f>K643</f>
        <v>693000</v>
      </c>
      <c r="O643" s="776">
        <f>N643</f>
        <v>693000</v>
      </c>
      <c r="P643" s="776">
        <f>O643/E643</f>
        <v>787.5</v>
      </c>
      <c r="Q643" s="972" t="s">
        <v>1628</v>
      </c>
    </row>
    <row r="644" spans="1:17" s="373" customFormat="1">
      <c r="A644" s="885"/>
      <c r="B644" s="761"/>
      <c r="C644" s="761"/>
      <c r="D644" s="761"/>
      <c r="E644" s="761"/>
      <c r="F644" s="762"/>
      <c r="G644" s="384"/>
      <c r="H644" s="776"/>
      <c r="I644" s="776"/>
      <c r="J644" s="776"/>
      <c r="K644" s="776"/>
      <c r="L644" s="334"/>
      <c r="M644" s="334"/>
      <c r="N644" s="326"/>
      <c r="O644" s="776"/>
      <c r="P644" s="776"/>
      <c r="Q644" s="584"/>
    </row>
    <row r="645" spans="1:17" s="373" customFormat="1">
      <c r="A645" s="1532" t="s">
        <v>492</v>
      </c>
      <c r="B645" s="1533"/>
      <c r="C645" s="1533"/>
      <c r="D645" s="1533"/>
      <c r="E645" s="1533"/>
      <c r="F645" s="1533"/>
      <c r="G645" s="1534"/>
      <c r="H645" s="364"/>
      <c r="I645" s="364"/>
      <c r="J645" s="364"/>
      <c r="K645" s="364">
        <f>SUM(K643:K643)</f>
        <v>693000</v>
      </c>
      <c r="L645" s="365">
        <f>SUM(L642:L643)</f>
        <v>0</v>
      </c>
      <c r="M645" s="365">
        <f>M643</f>
        <v>0</v>
      </c>
      <c r="N645" s="364">
        <f>SUM(N642:N643)</f>
        <v>693000</v>
      </c>
      <c r="O645" s="776"/>
      <c r="P645" s="776"/>
      <c r="Q645" s="584"/>
    </row>
    <row r="646" spans="1:17" s="373" customFormat="1">
      <c r="A646" s="885"/>
      <c r="B646" s="782"/>
      <c r="C646" s="782"/>
      <c r="D646" s="782"/>
      <c r="E646" s="782"/>
      <c r="F646" s="762"/>
      <c r="G646" s="328"/>
      <c r="H646" s="776"/>
      <c r="I646" s="776"/>
      <c r="J646" s="776"/>
      <c r="K646" s="776"/>
      <c r="L646" s="334"/>
      <c r="M646" s="334"/>
      <c r="N646" s="776"/>
      <c r="O646" s="776"/>
      <c r="P646" s="776"/>
      <c r="Q646" s="584"/>
    </row>
    <row r="647" spans="1:17" s="373" customFormat="1" ht="15" customHeight="1" thickBot="1">
      <c r="A647" s="1474" t="s">
        <v>493</v>
      </c>
      <c r="B647" s="1475"/>
      <c r="C647" s="1475"/>
      <c r="D647" s="1475"/>
      <c r="E647" s="1475"/>
      <c r="F647" s="1475"/>
      <c r="G647" s="1476"/>
      <c r="H647" s="581"/>
      <c r="I647" s="581"/>
      <c r="J647" s="581"/>
      <c r="K647" s="582">
        <f>K638+K645</f>
        <v>3236000</v>
      </c>
      <c r="L647" s="583">
        <f>L638+L645</f>
        <v>460000</v>
      </c>
      <c r="M647" s="583">
        <f>M638+M645</f>
        <v>2083000</v>
      </c>
      <c r="N647" s="582">
        <f>N638+N645</f>
        <v>693000</v>
      </c>
      <c r="O647" s="581"/>
      <c r="P647" s="581"/>
      <c r="Q647" s="886"/>
    </row>
    <row r="648" spans="1:17" s="373" customFormat="1" ht="15.75" customHeight="1" thickBot="1">
      <c r="A648" s="876"/>
      <c r="B648" s="899"/>
      <c r="C648" s="899"/>
      <c r="D648" s="899"/>
      <c r="E648" s="899"/>
      <c r="F648" s="900"/>
      <c r="G648" s="897"/>
      <c r="H648" s="901"/>
      <c r="I648" s="900"/>
      <c r="J648" s="900"/>
      <c r="K648" s="900"/>
      <c r="L648" s="902"/>
      <c r="M648" s="902"/>
      <c r="N648" s="900"/>
      <c r="O648" s="876"/>
      <c r="P648" s="876"/>
      <c r="Q648" s="876"/>
    </row>
    <row r="649" spans="1:17" s="373" customFormat="1" ht="15.75" customHeight="1" thickBot="1">
      <c r="A649" s="882"/>
      <c r="B649" s="639"/>
      <c r="C649" s="639"/>
      <c r="D649" s="639"/>
      <c r="E649" s="639"/>
      <c r="F649" s="846"/>
      <c r="G649" s="577" t="s">
        <v>1898</v>
      </c>
      <c r="H649" s="872"/>
      <c r="I649" s="873"/>
      <c r="J649" s="853"/>
      <c r="K649" s="639"/>
      <c r="L649" s="640"/>
      <c r="M649" s="640"/>
      <c r="N649" s="639"/>
      <c r="O649" s="712"/>
      <c r="P649" s="712"/>
      <c r="Q649" s="883"/>
    </row>
    <row r="650" spans="1:17" s="373" customFormat="1" ht="15.75" customHeight="1" thickBot="1">
      <c r="A650" s="884"/>
      <c r="B650" s="355"/>
      <c r="C650" s="355"/>
      <c r="D650" s="355"/>
      <c r="E650" s="355"/>
      <c r="F650" s="356"/>
      <c r="G650" s="576"/>
      <c r="H650" s="358"/>
      <c r="I650" s="358"/>
      <c r="J650" s="358"/>
      <c r="K650" s="358"/>
      <c r="L650" s="359"/>
      <c r="M650" s="359"/>
      <c r="N650" s="358"/>
      <c r="O650" s="732"/>
      <c r="P650" s="732"/>
      <c r="Q650" s="862"/>
    </row>
    <row r="651" spans="1:17" s="373" customFormat="1" ht="60" customHeight="1">
      <c r="A651" s="1562" t="s">
        <v>1472</v>
      </c>
      <c r="B651" s="1538" t="s">
        <v>676</v>
      </c>
      <c r="C651" s="1538" t="s">
        <v>610</v>
      </c>
      <c r="D651" s="1538" t="s">
        <v>611</v>
      </c>
      <c r="E651" s="1538" t="s">
        <v>1453</v>
      </c>
      <c r="F651" s="1472" t="s">
        <v>159</v>
      </c>
      <c r="G651" s="1509" t="s">
        <v>110</v>
      </c>
      <c r="H651" s="1477" t="s">
        <v>316</v>
      </c>
      <c r="I651" s="1472" t="s">
        <v>315</v>
      </c>
      <c r="J651" s="1472" t="s">
        <v>317</v>
      </c>
      <c r="K651" s="1472" t="s">
        <v>318</v>
      </c>
      <c r="L651" s="569" t="s">
        <v>1443</v>
      </c>
      <c r="M651" s="569" t="s">
        <v>1444</v>
      </c>
      <c r="N651" s="752" t="s">
        <v>1445</v>
      </c>
      <c r="O651" s="1477" t="s">
        <v>1673</v>
      </c>
      <c r="P651" s="1477" t="s">
        <v>1307</v>
      </c>
      <c r="Q651" s="1495" t="s">
        <v>1454</v>
      </c>
    </row>
    <row r="652" spans="1:17" s="373" customFormat="1" ht="15.75" customHeight="1" thickBot="1">
      <c r="A652" s="1563"/>
      <c r="B652" s="1539"/>
      <c r="C652" s="1539"/>
      <c r="D652" s="1539"/>
      <c r="E652" s="1539"/>
      <c r="F652" s="1473"/>
      <c r="G652" s="1510"/>
      <c r="H652" s="1478"/>
      <c r="I652" s="1473"/>
      <c r="J652" s="1473"/>
      <c r="K652" s="1473"/>
      <c r="L652" s="570" t="s">
        <v>805</v>
      </c>
      <c r="M652" s="570" t="s">
        <v>805</v>
      </c>
      <c r="N652" s="753" t="s">
        <v>1149</v>
      </c>
      <c r="O652" s="1478"/>
      <c r="P652" s="1478"/>
      <c r="Q652" s="1496"/>
    </row>
    <row r="653" spans="1:17" s="373" customFormat="1" ht="15" customHeight="1">
      <c r="A653" s="1633" t="s">
        <v>686</v>
      </c>
      <c r="B653" s="1487" t="s">
        <v>1476</v>
      </c>
      <c r="C653" s="1487" t="s">
        <v>686</v>
      </c>
      <c r="D653" s="1598">
        <v>9510</v>
      </c>
      <c r="E653" s="1610" t="s">
        <v>1451</v>
      </c>
      <c r="F653" s="757" t="s">
        <v>140</v>
      </c>
      <c r="G653" s="412" t="s">
        <v>922</v>
      </c>
      <c r="H653" s="422" t="s">
        <v>280</v>
      </c>
      <c r="I653" s="756">
        <v>1</v>
      </c>
      <c r="J653" s="756">
        <v>1000000</v>
      </c>
      <c r="K653" s="756">
        <f>I653*J653</f>
        <v>1000000</v>
      </c>
      <c r="L653" s="411">
        <f>K653</f>
        <v>1000000</v>
      </c>
      <c r="M653" s="411">
        <v>0</v>
      </c>
      <c r="N653" s="433">
        <v>0</v>
      </c>
      <c r="O653" s="1465">
        <f>SUM(L653:L669)</f>
        <v>7624000</v>
      </c>
      <c r="P653" s="1465">
        <f>O653/D653</f>
        <v>801.68243953732917</v>
      </c>
      <c r="Q653" s="861"/>
    </row>
    <row r="654" spans="1:17" s="373" customFormat="1" ht="32.25" customHeight="1">
      <c r="A654" s="1631"/>
      <c r="B654" s="1590"/>
      <c r="C654" s="1590"/>
      <c r="D654" s="1577"/>
      <c r="E654" s="1627"/>
      <c r="F654" s="1600" t="s">
        <v>319</v>
      </c>
      <c r="G654" s="329" t="s">
        <v>2114</v>
      </c>
      <c r="H654" s="807" t="s">
        <v>280</v>
      </c>
      <c r="I654" s="776">
        <v>1</v>
      </c>
      <c r="J654" s="776">
        <v>5000000</v>
      </c>
      <c r="K654" s="776">
        <f>I654*J654</f>
        <v>5000000</v>
      </c>
      <c r="L654" s="334">
        <f>K654</f>
        <v>5000000</v>
      </c>
      <c r="M654" s="334">
        <v>0</v>
      </c>
      <c r="N654" s="376">
        <v>0</v>
      </c>
      <c r="O654" s="1482"/>
      <c r="P654" s="1482"/>
      <c r="Q654" s="584"/>
    </row>
    <row r="655" spans="1:17" s="373" customFormat="1" ht="15" customHeight="1">
      <c r="A655" s="1631"/>
      <c r="B655" s="1590"/>
      <c r="C655" s="1590"/>
      <c r="D655" s="1577"/>
      <c r="E655" s="1627"/>
      <c r="F655" s="1600"/>
      <c r="G655" s="329" t="s">
        <v>521</v>
      </c>
      <c r="H655" s="807" t="s">
        <v>280</v>
      </c>
      <c r="I655" s="776">
        <v>1</v>
      </c>
      <c r="J655" s="776">
        <v>300000</v>
      </c>
      <c r="K655" s="776">
        <f>I655*J655</f>
        <v>300000</v>
      </c>
      <c r="L655" s="334">
        <v>0</v>
      </c>
      <c r="M655" s="334">
        <v>0</v>
      </c>
      <c r="N655" s="376">
        <f>K655</f>
        <v>300000</v>
      </c>
      <c r="O655" s="1482"/>
      <c r="P655" s="1482"/>
      <c r="Q655" s="1003" t="s">
        <v>1451</v>
      </c>
    </row>
    <row r="656" spans="1:17" s="373" customFormat="1" ht="30" customHeight="1">
      <c r="A656" s="1631"/>
      <c r="B656" s="1590"/>
      <c r="C656" s="1590"/>
      <c r="D656" s="1577"/>
      <c r="E656" s="1627"/>
      <c r="F656" s="1600" t="s">
        <v>320</v>
      </c>
      <c r="G656" s="329" t="s">
        <v>2115</v>
      </c>
      <c r="H656" s="807" t="s">
        <v>160</v>
      </c>
      <c r="I656" s="776">
        <v>7000</v>
      </c>
      <c r="J656" s="776">
        <f>'preturi unitare'!H25</f>
        <v>94</v>
      </c>
      <c r="K656" s="776">
        <f>J656*I656</f>
        <v>658000</v>
      </c>
      <c r="L656" s="334">
        <f t="shared" ref="L656:L658" si="62">K656</f>
        <v>658000</v>
      </c>
      <c r="M656" s="334">
        <v>0</v>
      </c>
      <c r="N656" s="376">
        <v>0</v>
      </c>
      <c r="O656" s="1482"/>
      <c r="P656" s="1482"/>
      <c r="Q656" s="584"/>
    </row>
    <row r="657" spans="1:19" s="373" customFormat="1" ht="30" customHeight="1">
      <c r="A657" s="1631"/>
      <c r="B657" s="1590"/>
      <c r="C657" s="1590"/>
      <c r="D657" s="1577"/>
      <c r="E657" s="1627"/>
      <c r="F657" s="1600"/>
      <c r="G657" s="329" t="s">
        <v>923</v>
      </c>
      <c r="H657" s="807" t="s">
        <v>280</v>
      </c>
      <c r="I657" s="776">
        <v>13</v>
      </c>
      <c r="J657" s="776">
        <v>14000</v>
      </c>
      <c r="K657" s="776">
        <f>J657*I657</f>
        <v>182000</v>
      </c>
      <c r="L657" s="334">
        <f t="shared" si="62"/>
        <v>182000</v>
      </c>
      <c r="M657" s="334">
        <v>0</v>
      </c>
      <c r="N657" s="376">
        <v>0</v>
      </c>
      <c r="O657" s="1482"/>
      <c r="P657" s="1482"/>
      <c r="Q657" s="584"/>
    </row>
    <row r="658" spans="1:19" s="373" customFormat="1" ht="30" customHeight="1">
      <c r="A658" s="1631"/>
      <c r="B658" s="1590"/>
      <c r="C658" s="1590"/>
      <c r="D658" s="1577"/>
      <c r="E658" s="1627"/>
      <c r="F658" s="1600"/>
      <c r="G658" s="329" t="s">
        <v>522</v>
      </c>
      <c r="H658" s="807" t="s">
        <v>280</v>
      </c>
      <c r="I658" s="776">
        <v>2</v>
      </c>
      <c r="J658" s="776">
        <v>30000</v>
      </c>
      <c r="K658" s="776">
        <f>J658*I658</f>
        <v>60000</v>
      </c>
      <c r="L658" s="334">
        <f t="shared" si="62"/>
        <v>60000</v>
      </c>
      <c r="M658" s="334">
        <v>0</v>
      </c>
      <c r="N658" s="376">
        <v>0</v>
      </c>
      <c r="O658" s="1482"/>
      <c r="P658" s="1482"/>
      <c r="Q658" s="584"/>
    </row>
    <row r="659" spans="1:19" s="373" customFormat="1" ht="30" customHeight="1">
      <c r="A659" s="1631"/>
      <c r="B659" s="1590"/>
      <c r="C659" s="1590"/>
      <c r="D659" s="1577"/>
      <c r="E659" s="1627"/>
      <c r="F659" s="1600" t="s">
        <v>322</v>
      </c>
      <c r="G659" s="362" t="s">
        <v>777</v>
      </c>
      <c r="H659" s="807" t="s">
        <v>160</v>
      </c>
      <c r="I659" s="776">
        <v>1500</v>
      </c>
      <c r="J659" s="776">
        <f>'preturi unitare'!J22</f>
        <v>71</v>
      </c>
      <c r="K659" s="776">
        <f>J659*I659</f>
        <v>106500</v>
      </c>
      <c r="L659" s="334">
        <v>0</v>
      </c>
      <c r="M659" s="334">
        <f>K659</f>
        <v>106500</v>
      </c>
      <c r="N659" s="376">
        <v>0</v>
      </c>
      <c r="O659" s="1482"/>
      <c r="P659" s="1482"/>
      <c r="Q659" s="1003" t="s">
        <v>1451</v>
      </c>
    </row>
    <row r="660" spans="1:19" s="373" customFormat="1" ht="30" customHeight="1">
      <c r="A660" s="1631"/>
      <c r="B660" s="1590"/>
      <c r="C660" s="1590"/>
      <c r="D660" s="1577"/>
      <c r="E660" s="1627"/>
      <c r="F660" s="1600"/>
      <c r="G660" s="362" t="s">
        <v>778</v>
      </c>
      <c r="H660" s="807" t="s">
        <v>160</v>
      </c>
      <c r="I660" s="776">
        <v>1000</v>
      </c>
      <c r="J660" s="776">
        <f>'preturi unitare'!J33</f>
        <v>66</v>
      </c>
      <c r="K660" s="776">
        <f>J660*I660</f>
        <v>66000</v>
      </c>
      <c r="L660" s="334">
        <v>0</v>
      </c>
      <c r="M660" s="334">
        <f>K660</f>
        <v>66000</v>
      </c>
      <c r="N660" s="376">
        <v>0</v>
      </c>
      <c r="O660" s="1482"/>
      <c r="P660" s="1482"/>
      <c r="Q660" s="1003" t="s">
        <v>1451</v>
      </c>
    </row>
    <row r="661" spans="1:19" s="373" customFormat="1" ht="30" customHeight="1">
      <c r="A661" s="1631"/>
      <c r="B661" s="1590"/>
      <c r="C661" s="1590"/>
      <c r="D661" s="1577"/>
      <c r="E661" s="1627"/>
      <c r="F661" s="1600"/>
      <c r="G661" s="362" t="s">
        <v>779</v>
      </c>
      <c r="H661" s="807" t="s">
        <v>160</v>
      </c>
      <c r="I661" s="776">
        <v>500</v>
      </c>
      <c r="J661" s="776">
        <f>'preturi unitare'!H24</f>
        <v>79</v>
      </c>
      <c r="K661" s="776">
        <f>I661*J661</f>
        <v>39500</v>
      </c>
      <c r="L661" s="334">
        <v>0</v>
      </c>
      <c r="M661" s="334">
        <f>K661</f>
        <v>39500</v>
      </c>
      <c r="N661" s="376">
        <v>0</v>
      </c>
      <c r="O661" s="1482"/>
      <c r="P661" s="1482"/>
      <c r="Q661" s="1003" t="s">
        <v>1451</v>
      </c>
    </row>
    <row r="662" spans="1:19" s="373" customFormat="1" ht="30" customHeight="1">
      <c r="A662" s="1631"/>
      <c r="B662" s="1590"/>
      <c r="C662" s="1590"/>
      <c r="D662" s="1577"/>
      <c r="E662" s="1627"/>
      <c r="F662" s="1600"/>
      <c r="G662" s="362" t="s">
        <v>780</v>
      </c>
      <c r="H662" s="807" t="s">
        <v>160</v>
      </c>
      <c r="I662" s="776">
        <v>1500</v>
      </c>
      <c r="J662" s="776">
        <f>'preturi unitare'!J25</f>
        <v>103</v>
      </c>
      <c r="K662" s="776">
        <f>I662*J662</f>
        <v>154500</v>
      </c>
      <c r="L662" s="334">
        <v>0</v>
      </c>
      <c r="M662" s="334">
        <f>K662</f>
        <v>154500</v>
      </c>
      <c r="N662" s="376">
        <v>0</v>
      </c>
      <c r="O662" s="1482"/>
      <c r="P662" s="1482"/>
      <c r="Q662" s="1003" t="s">
        <v>1451</v>
      </c>
    </row>
    <row r="663" spans="1:19" s="373" customFormat="1" ht="15" customHeight="1">
      <c r="A663" s="1631"/>
      <c r="B663" s="1590"/>
      <c r="C663" s="1590"/>
      <c r="D663" s="1577"/>
      <c r="E663" s="1627"/>
      <c r="F663" s="1600"/>
      <c r="G663" s="362" t="s">
        <v>781</v>
      </c>
      <c r="H663" s="807" t="s">
        <v>160</v>
      </c>
      <c r="I663" s="776">
        <v>3500</v>
      </c>
      <c r="J663" s="776">
        <f>'preturi unitare'!J26</f>
        <v>129</v>
      </c>
      <c r="K663" s="776">
        <f>I663*J663</f>
        <v>451500</v>
      </c>
      <c r="L663" s="334">
        <v>0</v>
      </c>
      <c r="M663" s="334">
        <f>K663</f>
        <v>451500</v>
      </c>
      <c r="N663" s="376">
        <v>0</v>
      </c>
      <c r="O663" s="1482"/>
      <c r="P663" s="1482"/>
      <c r="Q663" s="1003" t="s">
        <v>1451</v>
      </c>
    </row>
    <row r="664" spans="1:19" s="373" customFormat="1" ht="30" customHeight="1">
      <c r="A664" s="1631"/>
      <c r="B664" s="1590"/>
      <c r="C664" s="1590"/>
      <c r="D664" s="1577"/>
      <c r="E664" s="1627"/>
      <c r="F664" s="1600"/>
      <c r="G664" s="362" t="s">
        <v>782</v>
      </c>
      <c r="H664" s="807" t="s">
        <v>160</v>
      </c>
      <c r="I664" s="776">
        <v>2000</v>
      </c>
      <c r="J664" s="776">
        <f>'preturi unitare'!H22</f>
        <v>64</v>
      </c>
      <c r="K664" s="776">
        <f>J664*I664</f>
        <v>128000</v>
      </c>
      <c r="L664" s="334">
        <f>K664</f>
        <v>128000</v>
      </c>
      <c r="M664" s="334">
        <v>0</v>
      </c>
      <c r="N664" s="376">
        <v>0</v>
      </c>
      <c r="O664" s="1482"/>
      <c r="P664" s="1482"/>
      <c r="Q664" s="1003" t="s">
        <v>1451</v>
      </c>
    </row>
    <row r="665" spans="1:19" s="373" customFormat="1" ht="30" customHeight="1">
      <c r="A665" s="1631"/>
      <c r="B665" s="1590"/>
      <c r="C665" s="1590"/>
      <c r="D665" s="1577"/>
      <c r="E665" s="1627"/>
      <c r="F665" s="1600"/>
      <c r="G665" s="362" t="s">
        <v>783</v>
      </c>
      <c r="H665" s="807" t="s">
        <v>160</v>
      </c>
      <c r="I665" s="776">
        <v>2000</v>
      </c>
      <c r="J665" s="776">
        <f>J664</f>
        <v>64</v>
      </c>
      <c r="K665" s="776">
        <f>I665*J665</f>
        <v>128000</v>
      </c>
      <c r="L665" s="334">
        <f>K665</f>
        <v>128000</v>
      </c>
      <c r="M665" s="334">
        <v>0</v>
      </c>
      <c r="N665" s="376">
        <v>0</v>
      </c>
      <c r="O665" s="1482"/>
      <c r="P665" s="1482"/>
      <c r="Q665" s="1003" t="s">
        <v>1451</v>
      </c>
    </row>
    <row r="666" spans="1:19" s="373" customFormat="1" ht="30" customHeight="1">
      <c r="A666" s="1631"/>
      <c r="B666" s="1590"/>
      <c r="C666" s="1590"/>
      <c r="D666" s="1577"/>
      <c r="E666" s="1627"/>
      <c r="F666" s="1600"/>
      <c r="G666" s="362" t="s">
        <v>784</v>
      </c>
      <c r="H666" s="807" t="s">
        <v>160</v>
      </c>
      <c r="I666" s="776">
        <v>4000</v>
      </c>
      <c r="J666" s="776">
        <f>'preturi unitare'!H26</f>
        <v>117</v>
      </c>
      <c r="K666" s="776">
        <f>I666*J666</f>
        <v>468000</v>
      </c>
      <c r="L666" s="334">
        <f>K666</f>
        <v>468000</v>
      </c>
      <c r="M666" s="334">
        <v>0</v>
      </c>
      <c r="N666" s="376">
        <v>0</v>
      </c>
      <c r="O666" s="1482"/>
      <c r="P666" s="1482"/>
      <c r="Q666" s="1003" t="s">
        <v>1451</v>
      </c>
    </row>
    <row r="667" spans="1:19" s="373" customFormat="1" ht="30" customHeight="1">
      <c r="A667" s="1631"/>
      <c r="B667" s="1590"/>
      <c r="C667" s="1590"/>
      <c r="D667" s="1577"/>
      <c r="E667" s="1627"/>
      <c r="F667" s="1600"/>
      <c r="G667" s="362" t="s">
        <v>785</v>
      </c>
      <c r="H667" s="807" t="s">
        <v>160</v>
      </c>
      <c r="I667" s="776">
        <v>4500</v>
      </c>
      <c r="J667" s="776">
        <f>'preturi unitare'!J23</f>
        <v>75</v>
      </c>
      <c r="K667" s="776">
        <f>I667*J667</f>
        <v>337500</v>
      </c>
      <c r="L667" s="334">
        <v>0</v>
      </c>
      <c r="M667" s="334">
        <f>K667</f>
        <v>337500</v>
      </c>
      <c r="N667" s="376">
        <v>0</v>
      </c>
      <c r="O667" s="1482"/>
      <c r="P667" s="1482"/>
      <c r="Q667" s="1003" t="s">
        <v>1451</v>
      </c>
    </row>
    <row r="668" spans="1:19" s="373" customFormat="1" ht="15" customHeight="1">
      <c r="A668" s="1631"/>
      <c r="B668" s="1590"/>
      <c r="C668" s="1590"/>
      <c r="D668" s="1577"/>
      <c r="E668" s="1627"/>
      <c r="F668" s="1600"/>
      <c r="G668" s="362" t="s">
        <v>786</v>
      </c>
      <c r="H668" s="807" t="s">
        <v>160</v>
      </c>
      <c r="I668" s="776">
        <v>5500</v>
      </c>
      <c r="J668" s="776">
        <f>J667</f>
        <v>75</v>
      </c>
      <c r="K668" s="776">
        <f>I668*J668</f>
        <v>412500</v>
      </c>
      <c r="L668" s="334">
        <v>0</v>
      </c>
      <c r="M668" s="334">
        <v>0</v>
      </c>
      <c r="N668" s="376">
        <f>K668</f>
        <v>412500</v>
      </c>
      <c r="O668" s="1482"/>
      <c r="P668" s="1482"/>
      <c r="Q668" s="1003" t="s">
        <v>1451</v>
      </c>
    </row>
    <row r="669" spans="1:19" s="373" customFormat="1" ht="30" customHeight="1">
      <c r="A669" s="1632"/>
      <c r="B669" s="1590"/>
      <c r="C669" s="1590"/>
      <c r="D669" s="1577"/>
      <c r="E669" s="1598"/>
      <c r="F669" s="1600"/>
      <c r="G669" s="362" t="s">
        <v>523</v>
      </c>
      <c r="H669" s="653" t="s">
        <v>160</v>
      </c>
      <c r="I669" s="776">
        <v>22000</v>
      </c>
      <c r="J669" s="776">
        <f>J668</f>
        <v>75</v>
      </c>
      <c r="K669" s="776">
        <f>I669*J669</f>
        <v>1650000</v>
      </c>
      <c r="L669" s="334">
        <v>0</v>
      </c>
      <c r="M669" s="334">
        <v>0</v>
      </c>
      <c r="N669" s="376">
        <f>K669</f>
        <v>1650000</v>
      </c>
      <c r="O669" s="1482"/>
      <c r="P669" s="1482"/>
      <c r="Q669" s="1003" t="s">
        <v>1451</v>
      </c>
    </row>
    <row r="670" spans="1:19" s="373" customFormat="1" ht="15" customHeight="1">
      <c r="A670" s="885"/>
      <c r="B670" s="326"/>
      <c r="C670" s="326"/>
      <c r="D670" s="326"/>
      <c r="E670" s="326"/>
      <c r="F670" s="326"/>
      <c r="G670" s="326"/>
      <c r="H670" s="326"/>
      <c r="I670" s="776"/>
      <c r="J670" s="776"/>
      <c r="K670" s="776"/>
      <c r="L670" s="334"/>
      <c r="M670" s="334"/>
      <c r="N670" s="326"/>
      <c r="O670" s="776"/>
      <c r="P670" s="776"/>
      <c r="Q670" s="584"/>
    </row>
    <row r="671" spans="1:19" s="373" customFormat="1" ht="15.75" customHeight="1">
      <c r="A671" s="1469" t="s">
        <v>454</v>
      </c>
      <c r="B671" s="1470"/>
      <c r="C671" s="1470"/>
      <c r="D671" s="1470"/>
      <c r="E671" s="1470"/>
      <c r="F671" s="1470"/>
      <c r="G671" s="1471"/>
      <c r="H671" s="793"/>
      <c r="I671" s="776"/>
      <c r="J671" s="776"/>
      <c r="K671" s="364">
        <f>SUM(K653:K669)</f>
        <v>11142000</v>
      </c>
      <c r="L671" s="365">
        <f>SUM(L653:L670)</f>
        <v>7624000</v>
      </c>
      <c r="M671" s="365">
        <f>SUM(M653:M669)</f>
        <v>1155500</v>
      </c>
      <c r="N671" s="364">
        <f>SUM(N653:N670)</f>
        <v>2362500</v>
      </c>
      <c r="O671" s="776"/>
      <c r="P671" s="776"/>
      <c r="Q671" s="584"/>
      <c r="S671" s="374"/>
    </row>
    <row r="672" spans="1:19" s="373" customFormat="1" ht="15.75" customHeight="1" thickBot="1">
      <c r="A672" s="884"/>
      <c r="B672" s="397"/>
      <c r="C672" s="397"/>
      <c r="D672" s="397"/>
      <c r="E672" s="397"/>
      <c r="F672" s="766"/>
      <c r="G672" s="417"/>
      <c r="H672" s="732"/>
      <c r="I672" s="732"/>
      <c r="J672" s="732"/>
      <c r="K672" s="732"/>
      <c r="L672" s="426"/>
      <c r="M672" s="426"/>
      <c r="N672" s="418"/>
      <c r="O672" s="732"/>
      <c r="P672" s="732"/>
      <c r="Q672" s="862"/>
    </row>
    <row r="673" spans="1:17" s="373" customFormat="1" ht="60" customHeight="1">
      <c r="A673" s="1608" t="s">
        <v>1472</v>
      </c>
      <c r="B673" s="1544" t="s">
        <v>617</v>
      </c>
      <c r="C673" s="1538" t="s">
        <v>610</v>
      </c>
      <c r="D673" s="1538" t="s">
        <v>611</v>
      </c>
      <c r="E673" s="1538" t="s">
        <v>1453</v>
      </c>
      <c r="F673" s="1472" t="s">
        <v>159</v>
      </c>
      <c r="G673" s="1509" t="s">
        <v>110</v>
      </c>
      <c r="H673" s="1477" t="s">
        <v>316</v>
      </c>
      <c r="I673" s="1472" t="s">
        <v>315</v>
      </c>
      <c r="J673" s="1472" t="s">
        <v>317</v>
      </c>
      <c r="K673" s="1472" t="s">
        <v>318</v>
      </c>
      <c r="L673" s="569" t="s">
        <v>1443</v>
      </c>
      <c r="M673" s="569" t="s">
        <v>1444</v>
      </c>
      <c r="N673" s="752" t="s">
        <v>1445</v>
      </c>
      <c r="O673" s="1477" t="s">
        <v>1673</v>
      </c>
      <c r="P673" s="1477" t="s">
        <v>1307</v>
      </c>
      <c r="Q673" s="1495" t="s">
        <v>1454</v>
      </c>
    </row>
    <row r="674" spans="1:17" s="373" customFormat="1" ht="15.75" customHeight="1" thickBot="1">
      <c r="A674" s="1609"/>
      <c r="B674" s="1545"/>
      <c r="C674" s="1539"/>
      <c r="D674" s="1539"/>
      <c r="E674" s="1539"/>
      <c r="F674" s="1473"/>
      <c r="G674" s="1510"/>
      <c r="H674" s="1478"/>
      <c r="I674" s="1473"/>
      <c r="J674" s="1473"/>
      <c r="K674" s="1473"/>
      <c r="L674" s="570" t="s">
        <v>805</v>
      </c>
      <c r="M674" s="570" t="s">
        <v>805</v>
      </c>
      <c r="N674" s="753" t="s">
        <v>1149</v>
      </c>
      <c r="O674" s="1478"/>
      <c r="P674" s="1478"/>
      <c r="Q674" s="1496"/>
    </row>
    <row r="675" spans="1:17" s="373" customFormat="1" ht="30" customHeight="1">
      <c r="A675" s="1630" t="s">
        <v>1477</v>
      </c>
      <c r="B675" s="1487" t="s">
        <v>1478</v>
      </c>
      <c r="C675" s="1487" t="s">
        <v>686</v>
      </c>
      <c r="D675" s="1598">
        <f>D653</f>
        <v>9510</v>
      </c>
      <c r="E675" s="1627">
        <f>1.15*D675</f>
        <v>10936.5</v>
      </c>
      <c r="F675" s="1468" t="s">
        <v>325</v>
      </c>
      <c r="G675" s="423" t="s">
        <v>924</v>
      </c>
      <c r="H675" s="414" t="s">
        <v>160</v>
      </c>
      <c r="I675" s="756">
        <v>4000</v>
      </c>
      <c r="J675" s="756">
        <f>'preturi unitare'!H40</f>
        <v>154</v>
      </c>
      <c r="K675" s="756">
        <f>I675*J675</f>
        <v>616000</v>
      </c>
      <c r="L675" s="411">
        <f>K675</f>
        <v>616000</v>
      </c>
      <c r="M675" s="411">
        <v>0</v>
      </c>
      <c r="N675" s="756">
        <v>0</v>
      </c>
      <c r="O675" s="1465">
        <f>SUM(L675:L677)</f>
        <v>2310000</v>
      </c>
      <c r="P675" s="1465">
        <f>O675/D675</f>
        <v>242.90220820189273</v>
      </c>
      <c r="Q675" s="1497" t="s">
        <v>1636</v>
      </c>
    </row>
    <row r="676" spans="1:17" s="373" customFormat="1" ht="30" customHeight="1">
      <c r="A676" s="1631"/>
      <c r="B676" s="1590"/>
      <c r="C676" s="1590"/>
      <c r="D676" s="1577"/>
      <c r="E676" s="1627"/>
      <c r="F676" s="1600"/>
      <c r="G676" s="362" t="s">
        <v>925</v>
      </c>
      <c r="H676" s="807" t="s">
        <v>160</v>
      </c>
      <c r="I676" s="776">
        <v>5000</v>
      </c>
      <c r="J676" s="776">
        <f>J675</f>
        <v>154</v>
      </c>
      <c r="K676" s="776">
        <f>I676*J676</f>
        <v>770000</v>
      </c>
      <c r="L676" s="334">
        <f>K676</f>
        <v>770000</v>
      </c>
      <c r="M676" s="334">
        <v>0</v>
      </c>
      <c r="N676" s="776">
        <v>0</v>
      </c>
      <c r="O676" s="1482"/>
      <c r="P676" s="1482"/>
      <c r="Q676" s="1498"/>
    </row>
    <row r="677" spans="1:17" s="373" customFormat="1" ht="45" customHeight="1">
      <c r="A677" s="1632"/>
      <c r="B677" s="1590"/>
      <c r="C677" s="1590"/>
      <c r="D677" s="1577"/>
      <c r="E677" s="1598"/>
      <c r="F677" s="1600"/>
      <c r="G677" s="362" t="s">
        <v>1285</v>
      </c>
      <c r="H677" s="807" t="s">
        <v>160</v>
      </c>
      <c r="I677" s="776">
        <v>6000</v>
      </c>
      <c r="J677" s="776">
        <f>J676</f>
        <v>154</v>
      </c>
      <c r="K677" s="776">
        <f>I677*J677</f>
        <v>924000</v>
      </c>
      <c r="L677" s="334">
        <f>K677</f>
        <v>924000</v>
      </c>
      <c r="M677" s="334">
        <v>0</v>
      </c>
      <c r="N677" s="776">
        <v>0</v>
      </c>
      <c r="O677" s="1482"/>
      <c r="P677" s="1482"/>
      <c r="Q677" s="1499"/>
    </row>
    <row r="678" spans="1:17" s="373" customFormat="1" ht="15" customHeight="1">
      <c r="A678" s="885"/>
      <c r="B678" s="761"/>
      <c r="C678" s="761"/>
      <c r="D678" s="761"/>
      <c r="E678" s="761"/>
      <c r="F678" s="762"/>
      <c r="G678" s="384"/>
      <c r="H678" s="807"/>
      <c r="I678" s="807"/>
      <c r="J678" s="807"/>
      <c r="K678" s="807"/>
      <c r="L678" s="807"/>
      <c r="M678" s="807"/>
      <c r="N678" s="807"/>
      <c r="O678" s="776"/>
      <c r="P678" s="776"/>
      <c r="Q678" s="584"/>
    </row>
    <row r="679" spans="1:17" s="373" customFormat="1" ht="15" customHeight="1">
      <c r="A679" s="1532" t="s">
        <v>455</v>
      </c>
      <c r="B679" s="1533"/>
      <c r="C679" s="1533"/>
      <c r="D679" s="1533"/>
      <c r="E679" s="1533"/>
      <c r="F679" s="1533"/>
      <c r="G679" s="1534"/>
      <c r="H679" s="364"/>
      <c r="I679" s="364"/>
      <c r="J679" s="364"/>
      <c r="K679" s="364">
        <f>SUM(K675:K677)</f>
        <v>2310000</v>
      </c>
      <c r="L679" s="365">
        <f>SUM(L675:L677)</f>
        <v>2310000</v>
      </c>
      <c r="M679" s="365">
        <f>SUM(M675:M677)</f>
        <v>0</v>
      </c>
      <c r="N679" s="364">
        <f>SUM(N675:N677)</f>
        <v>0</v>
      </c>
      <c r="O679" s="776"/>
      <c r="P679" s="776"/>
      <c r="Q679" s="584"/>
    </row>
    <row r="680" spans="1:17" s="373" customFormat="1" ht="15" customHeight="1">
      <c r="A680" s="885"/>
      <c r="B680" s="782"/>
      <c r="C680" s="782"/>
      <c r="D680" s="782"/>
      <c r="E680" s="782"/>
      <c r="F680" s="762"/>
      <c r="G680" s="328"/>
      <c r="H680" s="776"/>
      <c r="I680" s="776"/>
      <c r="J680" s="776"/>
      <c r="K680" s="776"/>
      <c r="L680" s="334"/>
      <c r="M680" s="334"/>
      <c r="N680" s="776"/>
      <c r="O680" s="776"/>
      <c r="P680" s="776"/>
      <c r="Q680" s="584"/>
    </row>
    <row r="681" spans="1:17" s="373" customFormat="1" ht="15" customHeight="1" thickBot="1">
      <c r="A681" s="1765" t="s">
        <v>456</v>
      </c>
      <c r="B681" s="1766"/>
      <c r="C681" s="1766"/>
      <c r="D681" s="1766"/>
      <c r="E681" s="1766"/>
      <c r="F681" s="1766"/>
      <c r="G681" s="1767"/>
      <c r="H681" s="581"/>
      <c r="I681" s="581"/>
      <c r="J681" s="581"/>
      <c r="K681" s="582">
        <f>K671+K679</f>
        <v>13452000</v>
      </c>
      <c r="L681" s="583">
        <f>L671+L679</f>
        <v>9934000</v>
      </c>
      <c r="M681" s="583">
        <f>M671+M679</f>
        <v>1155500</v>
      </c>
      <c r="N681" s="582">
        <f>N671+N679</f>
        <v>2362500</v>
      </c>
      <c r="O681" s="581"/>
      <c r="P681" s="581"/>
      <c r="Q681" s="886"/>
    </row>
    <row r="682" spans="1:17" s="373" customFormat="1" ht="15.75" thickBot="1">
      <c r="A682" s="876"/>
      <c r="B682" s="899"/>
      <c r="C682" s="899"/>
      <c r="D682" s="899"/>
      <c r="E682" s="899"/>
      <c r="F682" s="900"/>
      <c r="G682" s="897"/>
      <c r="H682" s="901"/>
      <c r="I682" s="900"/>
      <c r="J682" s="900"/>
      <c r="K682" s="900"/>
      <c r="L682" s="902"/>
      <c r="M682" s="902"/>
      <c r="N682" s="900"/>
      <c r="O682" s="876"/>
      <c r="P682" s="876"/>
      <c r="Q682" s="876"/>
    </row>
    <row r="683" spans="1:17" ht="15.75" thickBot="1">
      <c r="A683" s="859"/>
      <c r="B683" s="639"/>
      <c r="C683" s="639"/>
      <c r="D683" s="639"/>
      <c r="E683" s="639"/>
      <c r="F683" s="846"/>
      <c r="G683" s="577" t="s">
        <v>1899</v>
      </c>
      <c r="H683" s="872"/>
      <c r="I683" s="873"/>
      <c r="J683" s="641"/>
      <c r="K683" s="639"/>
      <c r="L683" s="640"/>
      <c r="M683" s="640"/>
      <c r="N683" s="639"/>
      <c r="O683" s="841"/>
      <c r="P683" s="841"/>
      <c r="Q683" s="642"/>
    </row>
    <row r="684" spans="1:17" ht="15.75" thickBot="1">
      <c r="A684" s="833"/>
      <c r="B684" s="355"/>
      <c r="C684" s="355"/>
      <c r="D684" s="355"/>
      <c r="E684" s="355"/>
      <c r="F684" s="356"/>
      <c r="G684" s="576"/>
      <c r="H684" s="358"/>
      <c r="I684" s="358"/>
      <c r="J684" s="358"/>
      <c r="K684" s="358"/>
      <c r="L684" s="359"/>
      <c r="M684" s="359"/>
      <c r="N684" s="358"/>
      <c r="O684" s="770"/>
      <c r="P684" s="770"/>
      <c r="Q684" s="857"/>
    </row>
    <row r="685" spans="1:17" ht="60" customHeight="1">
      <c r="A685" s="1562" t="s">
        <v>1452</v>
      </c>
      <c r="B685" s="1538" t="s">
        <v>676</v>
      </c>
      <c r="C685" s="1538" t="s">
        <v>610</v>
      </c>
      <c r="D685" s="1538" t="s">
        <v>611</v>
      </c>
      <c r="E685" s="1538" t="s">
        <v>1453</v>
      </c>
      <c r="F685" s="1472" t="s">
        <v>159</v>
      </c>
      <c r="G685" s="1509" t="s">
        <v>110</v>
      </c>
      <c r="H685" s="1477" t="s">
        <v>316</v>
      </c>
      <c r="I685" s="1472" t="s">
        <v>315</v>
      </c>
      <c r="J685" s="1472" t="s">
        <v>317</v>
      </c>
      <c r="K685" s="1472" t="s">
        <v>318</v>
      </c>
      <c r="L685" s="569" t="s">
        <v>1443</v>
      </c>
      <c r="M685" s="569" t="s">
        <v>1444</v>
      </c>
      <c r="N685" s="752" t="s">
        <v>1445</v>
      </c>
      <c r="O685" s="1477" t="s">
        <v>1673</v>
      </c>
      <c r="P685" s="1477" t="s">
        <v>1307</v>
      </c>
      <c r="Q685" s="1495" t="s">
        <v>1454</v>
      </c>
    </row>
    <row r="686" spans="1:17" ht="15.75" thickBot="1">
      <c r="A686" s="1563"/>
      <c r="B686" s="1539"/>
      <c r="C686" s="1539"/>
      <c r="D686" s="1539"/>
      <c r="E686" s="1539"/>
      <c r="F686" s="1473"/>
      <c r="G686" s="1510"/>
      <c r="H686" s="1478"/>
      <c r="I686" s="1473"/>
      <c r="J686" s="1473"/>
      <c r="K686" s="1473"/>
      <c r="L686" s="570" t="s">
        <v>805</v>
      </c>
      <c r="M686" s="570" t="s">
        <v>805</v>
      </c>
      <c r="N686" s="753" t="s">
        <v>1149</v>
      </c>
      <c r="O686" s="1478"/>
      <c r="P686" s="1478"/>
      <c r="Q686" s="1496"/>
    </row>
    <row r="687" spans="1:17" ht="30">
      <c r="A687" s="1485" t="s">
        <v>735</v>
      </c>
      <c r="B687" s="1626" t="s">
        <v>1479</v>
      </c>
      <c r="C687" s="1487" t="s">
        <v>735</v>
      </c>
      <c r="D687" s="1607">
        <v>1627</v>
      </c>
      <c r="E687" s="1628" t="s">
        <v>1451</v>
      </c>
      <c r="F687" s="757" t="s">
        <v>321</v>
      </c>
      <c r="G687" s="412" t="s">
        <v>1024</v>
      </c>
      <c r="H687" s="414" t="s">
        <v>280</v>
      </c>
      <c r="I687" s="756">
        <v>1</v>
      </c>
      <c r="J687" s="756">
        <f>'preturi unitare'!H5</f>
        <v>70000</v>
      </c>
      <c r="K687" s="756">
        <f>I687*J687</f>
        <v>70000</v>
      </c>
      <c r="L687" s="411">
        <f>K687</f>
        <v>70000</v>
      </c>
      <c r="M687" s="411">
        <v>0</v>
      </c>
      <c r="N687" s="756">
        <v>0</v>
      </c>
      <c r="O687" s="1484">
        <f>SUM(L687:L688)</f>
        <v>556400</v>
      </c>
      <c r="P687" s="1484">
        <f>O687/D687</f>
        <v>341.97910264290107</v>
      </c>
      <c r="Q687" s="1497" t="s">
        <v>1629</v>
      </c>
    </row>
    <row r="688" spans="1:17" ht="44.25" customHeight="1">
      <c r="A688" s="1486"/>
      <c r="B688" s="1599"/>
      <c r="C688" s="1488"/>
      <c r="D688" s="1602"/>
      <c r="E688" s="1607"/>
      <c r="F688" s="762" t="s">
        <v>322</v>
      </c>
      <c r="G688" s="329" t="s">
        <v>524</v>
      </c>
      <c r="H688" s="807" t="s">
        <v>160</v>
      </c>
      <c r="I688" s="776">
        <v>7600</v>
      </c>
      <c r="J688" s="776">
        <f>'preturi unitare'!H22</f>
        <v>64</v>
      </c>
      <c r="K688" s="776">
        <f>I688*J688</f>
        <v>486400</v>
      </c>
      <c r="L688" s="334">
        <f>K688</f>
        <v>486400</v>
      </c>
      <c r="M688" s="334">
        <v>0</v>
      </c>
      <c r="N688" s="776">
        <v>0</v>
      </c>
      <c r="O688" s="1483"/>
      <c r="P688" s="1483"/>
      <c r="Q688" s="1640"/>
    </row>
    <row r="689" spans="1:19">
      <c r="A689" s="820"/>
      <c r="B689" s="326"/>
      <c r="C689" s="326"/>
      <c r="D689" s="326"/>
      <c r="E689" s="326"/>
      <c r="F689" s="326"/>
      <c r="G689" s="326"/>
      <c r="H689" s="326"/>
      <c r="I689" s="776"/>
      <c r="J689" s="776"/>
      <c r="K689" s="776"/>
      <c r="L689" s="334"/>
      <c r="M689" s="334"/>
      <c r="N689" s="326"/>
      <c r="O689" s="776"/>
      <c r="P689" s="776"/>
      <c r="Q689" s="587"/>
    </row>
    <row r="690" spans="1:19">
      <c r="A690" s="1469" t="s">
        <v>582</v>
      </c>
      <c r="B690" s="1470"/>
      <c r="C690" s="1470"/>
      <c r="D690" s="1470"/>
      <c r="E690" s="1470"/>
      <c r="F690" s="1470"/>
      <c r="G690" s="1471"/>
      <c r="H690" s="793"/>
      <c r="I690" s="776"/>
      <c r="J690" s="776"/>
      <c r="K690" s="364">
        <f>SUM(K687:K688)</f>
        <v>556400</v>
      </c>
      <c r="L690" s="365">
        <f>SUM(L687:L688)</f>
        <v>556400</v>
      </c>
      <c r="M690" s="365">
        <f>SUM(M687:M688)</f>
        <v>0</v>
      </c>
      <c r="N690" s="408">
        <f>SUM(N687:N688)</f>
        <v>0</v>
      </c>
      <c r="O690" s="776"/>
      <c r="P690" s="776"/>
      <c r="Q690" s="587"/>
      <c r="S690" s="629"/>
    </row>
    <row r="691" spans="1:19" ht="15.75" thickBot="1">
      <c r="A691" s="833"/>
      <c r="B691" s="397"/>
      <c r="C691" s="397"/>
      <c r="D691" s="397"/>
      <c r="E691" s="397"/>
      <c r="F691" s="766"/>
      <c r="G691" s="417"/>
      <c r="H691" s="732"/>
      <c r="I691" s="732"/>
      <c r="J691" s="732"/>
      <c r="K691" s="732"/>
      <c r="L691" s="426"/>
      <c r="M691" s="426"/>
      <c r="N691" s="418"/>
      <c r="O691" s="770"/>
      <c r="P691" s="770"/>
      <c r="Q691" s="857"/>
    </row>
    <row r="692" spans="1:19" s="382" customFormat="1" ht="60" customHeight="1">
      <c r="A692" s="1562" t="s">
        <v>1452</v>
      </c>
      <c r="B692" s="1544" t="s">
        <v>617</v>
      </c>
      <c r="C692" s="1538" t="s">
        <v>610</v>
      </c>
      <c r="D692" s="1538" t="s">
        <v>611</v>
      </c>
      <c r="E692" s="1538" t="s">
        <v>1453</v>
      </c>
      <c r="F692" s="1472" t="s">
        <v>159</v>
      </c>
      <c r="G692" s="1509" t="s">
        <v>110</v>
      </c>
      <c r="H692" s="1477" t="s">
        <v>316</v>
      </c>
      <c r="I692" s="1472" t="s">
        <v>315</v>
      </c>
      <c r="J692" s="1472" t="s">
        <v>317</v>
      </c>
      <c r="K692" s="1472" t="s">
        <v>318</v>
      </c>
      <c r="L692" s="569" t="s">
        <v>1443</v>
      </c>
      <c r="M692" s="569" t="s">
        <v>1444</v>
      </c>
      <c r="N692" s="752" t="s">
        <v>1445</v>
      </c>
      <c r="O692" s="1477" t="s">
        <v>1673</v>
      </c>
      <c r="P692" s="1477" t="s">
        <v>1307</v>
      </c>
      <c r="Q692" s="1495" t="s">
        <v>1454</v>
      </c>
    </row>
    <row r="693" spans="1:19" s="382" customFormat="1" ht="15.75" thickBot="1">
      <c r="A693" s="1563"/>
      <c r="B693" s="1545"/>
      <c r="C693" s="1539"/>
      <c r="D693" s="1539"/>
      <c r="E693" s="1539"/>
      <c r="F693" s="1473"/>
      <c r="G693" s="1510"/>
      <c r="H693" s="1478"/>
      <c r="I693" s="1473"/>
      <c r="J693" s="1473"/>
      <c r="K693" s="1473"/>
      <c r="L693" s="570" t="s">
        <v>805</v>
      </c>
      <c r="M693" s="570" t="s">
        <v>805</v>
      </c>
      <c r="N693" s="753" t="s">
        <v>1149</v>
      </c>
      <c r="O693" s="1478"/>
      <c r="P693" s="1478"/>
      <c r="Q693" s="1496"/>
    </row>
    <row r="694" spans="1:19" ht="30">
      <c r="A694" s="1485" t="s">
        <v>735</v>
      </c>
      <c r="B694" s="1611" t="s">
        <v>1480</v>
      </c>
      <c r="C694" s="1487" t="s">
        <v>735</v>
      </c>
      <c r="D694" s="1607">
        <f>D687</f>
        <v>1627</v>
      </c>
      <c r="E694" s="1610">
        <f>D694</f>
        <v>1627</v>
      </c>
      <c r="F694" s="757" t="s">
        <v>323</v>
      </c>
      <c r="G694" s="423" t="s">
        <v>1025</v>
      </c>
      <c r="H694" s="414" t="s">
        <v>280</v>
      </c>
      <c r="I694" s="756">
        <v>1</v>
      </c>
      <c r="J694" s="756">
        <f>'preturi unitare'!O31</f>
        <v>214000</v>
      </c>
      <c r="K694" s="756">
        <f>I694*J694</f>
        <v>214000</v>
      </c>
      <c r="L694" s="411">
        <v>0</v>
      </c>
      <c r="M694" s="411">
        <f>K694</f>
        <v>214000</v>
      </c>
      <c r="N694" s="756">
        <v>0</v>
      </c>
      <c r="O694" s="1484">
        <f>SUM(K694:K697)</f>
        <v>2178800</v>
      </c>
      <c r="P694" s="1484">
        <f>O694/D694</f>
        <v>1339.1518131530424</v>
      </c>
      <c r="Q694" s="1572" t="s">
        <v>1513</v>
      </c>
    </row>
    <row r="695" spans="1:19" ht="30">
      <c r="A695" s="1486"/>
      <c r="B695" s="1626"/>
      <c r="C695" s="1488"/>
      <c r="D695" s="1602"/>
      <c r="E695" s="1628"/>
      <c r="F695" s="762" t="s">
        <v>144</v>
      </c>
      <c r="G695" s="362" t="s">
        <v>426</v>
      </c>
      <c r="H695" s="393" t="s">
        <v>160</v>
      </c>
      <c r="I695" s="776">
        <v>1400</v>
      </c>
      <c r="J695" s="776">
        <f>'preturi unitare'!H24</f>
        <v>79</v>
      </c>
      <c r="K695" s="776">
        <f>I695*J695</f>
        <v>110600</v>
      </c>
      <c r="L695" s="334">
        <v>0</v>
      </c>
      <c r="M695" s="411">
        <f t="shared" ref="M695:M697" si="63">K695</f>
        <v>110600</v>
      </c>
      <c r="N695" s="1280">
        <v>0</v>
      </c>
      <c r="O695" s="1483"/>
      <c r="P695" s="1483"/>
      <c r="Q695" s="1636"/>
    </row>
    <row r="696" spans="1:19" ht="30">
      <c r="A696" s="1486"/>
      <c r="B696" s="1626"/>
      <c r="C696" s="1488"/>
      <c r="D696" s="1602"/>
      <c r="E696" s="1628"/>
      <c r="F696" s="762" t="s">
        <v>324</v>
      </c>
      <c r="G696" s="362" t="s">
        <v>764</v>
      </c>
      <c r="H696" s="807" t="s">
        <v>280</v>
      </c>
      <c r="I696" s="776">
        <v>4</v>
      </c>
      <c r="J696" s="776">
        <f>'preturi unitare'!B32</f>
        <v>67000</v>
      </c>
      <c r="K696" s="776">
        <f>I696*J696</f>
        <v>268000</v>
      </c>
      <c r="L696" s="334">
        <v>0</v>
      </c>
      <c r="M696" s="411">
        <f t="shared" si="63"/>
        <v>268000</v>
      </c>
      <c r="N696" s="1280">
        <v>0</v>
      </c>
      <c r="O696" s="1483"/>
      <c r="P696" s="1483"/>
      <c r="Q696" s="1636"/>
    </row>
    <row r="697" spans="1:19" ht="30">
      <c r="A697" s="1486"/>
      <c r="B697" s="1599"/>
      <c r="C697" s="1488"/>
      <c r="D697" s="1602"/>
      <c r="E697" s="1607"/>
      <c r="F697" s="762" t="s">
        <v>325</v>
      </c>
      <c r="G697" s="362" t="s">
        <v>1026</v>
      </c>
      <c r="H697" s="807" t="s">
        <v>160</v>
      </c>
      <c r="I697" s="776">
        <v>10300</v>
      </c>
      <c r="J697" s="776">
        <f>'preturi unitare'!H40</f>
        <v>154</v>
      </c>
      <c r="K697" s="776">
        <f>I697*J697</f>
        <v>1586200</v>
      </c>
      <c r="L697" s="334">
        <v>0</v>
      </c>
      <c r="M697" s="411">
        <f t="shared" si="63"/>
        <v>1586200</v>
      </c>
      <c r="N697" s="1280">
        <v>0</v>
      </c>
      <c r="O697" s="1483"/>
      <c r="P697" s="1483"/>
      <c r="Q697" s="1637"/>
    </row>
    <row r="698" spans="1:19" s="378" customFormat="1">
      <c r="A698" s="820"/>
      <c r="B698" s="761"/>
      <c r="C698" s="761"/>
      <c r="D698" s="761"/>
      <c r="E698" s="761"/>
      <c r="F698" s="762"/>
      <c r="G698" s="384"/>
      <c r="H698" s="776"/>
      <c r="I698" s="776"/>
      <c r="J698" s="776"/>
      <c r="K698" s="776"/>
      <c r="L698" s="334"/>
      <c r="M698" s="334"/>
      <c r="N698" s="326"/>
      <c r="O698" s="776"/>
      <c r="P698" s="776"/>
      <c r="Q698" s="587"/>
    </row>
    <row r="699" spans="1:19">
      <c r="A699" s="1532" t="s">
        <v>420</v>
      </c>
      <c r="B699" s="1533"/>
      <c r="C699" s="1533"/>
      <c r="D699" s="1533"/>
      <c r="E699" s="1533"/>
      <c r="F699" s="1533"/>
      <c r="G699" s="1534"/>
      <c r="H699" s="364"/>
      <c r="I699" s="364"/>
      <c r="J699" s="364"/>
      <c r="K699" s="364">
        <f>SUM(K694:K697)</f>
        <v>2178800</v>
      </c>
      <c r="L699" s="365">
        <f>SUM(L694:L697)</f>
        <v>0</v>
      </c>
      <c r="M699" s="365">
        <f>SUM(M694:M697)</f>
        <v>2178800</v>
      </c>
      <c r="N699" s="364">
        <f>SUM(N694:N697)</f>
        <v>0</v>
      </c>
      <c r="O699" s="776"/>
      <c r="P699" s="776"/>
      <c r="Q699" s="587"/>
    </row>
    <row r="700" spans="1:19">
      <c r="A700" s="820"/>
      <c r="B700" s="782"/>
      <c r="C700" s="782"/>
      <c r="D700" s="782"/>
      <c r="E700" s="782"/>
      <c r="F700" s="762"/>
      <c r="G700" s="328"/>
      <c r="H700" s="776"/>
      <c r="I700" s="776"/>
      <c r="J700" s="776"/>
      <c r="K700" s="776"/>
      <c r="L700" s="334"/>
      <c r="M700" s="334"/>
      <c r="N700" s="776"/>
      <c r="O700" s="776"/>
      <c r="P700" s="776"/>
      <c r="Q700" s="587"/>
    </row>
    <row r="701" spans="1:19" ht="15.75" customHeight="1" thickBot="1">
      <c r="A701" s="1474" t="s">
        <v>421</v>
      </c>
      <c r="B701" s="1475"/>
      <c r="C701" s="1475"/>
      <c r="D701" s="1475"/>
      <c r="E701" s="1475"/>
      <c r="F701" s="1475"/>
      <c r="G701" s="1476"/>
      <c r="H701" s="581"/>
      <c r="I701" s="581"/>
      <c r="J701" s="581"/>
      <c r="K701" s="582">
        <f>K690+K699</f>
        <v>2735200</v>
      </c>
      <c r="L701" s="583">
        <f>L690+L699</f>
        <v>556400</v>
      </c>
      <c r="M701" s="583">
        <f>M690+M699</f>
        <v>2178800</v>
      </c>
      <c r="N701" s="582">
        <f>N690+N699</f>
        <v>0</v>
      </c>
      <c r="O701" s="581"/>
      <c r="P701" s="581"/>
      <c r="Q701" s="816"/>
    </row>
    <row r="702" spans="1:19" s="373" customFormat="1" ht="15.75" thickBot="1">
      <c r="A702" s="876"/>
      <c r="B702" s="899"/>
      <c r="C702" s="899"/>
      <c r="D702" s="899"/>
      <c r="E702" s="899"/>
      <c r="F702" s="900"/>
      <c r="G702" s="897"/>
      <c r="H702" s="901"/>
      <c r="I702" s="900"/>
      <c r="J702" s="900"/>
      <c r="K702" s="900"/>
      <c r="L702" s="902"/>
      <c r="M702" s="902"/>
      <c r="N702" s="900"/>
      <c r="O702" s="876"/>
      <c r="P702" s="876"/>
      <c r="Q702" s="876"/>
    </row>
    <row r="703" spans="1:19" s="373" customFormat="1" ht="15.75" thickBot="1">
      <c r="A703" s="882"/>
      <c r="B703" s="639"/>
      <c r="C703" s="639"/>
      <c r="D703" s="639"/>
      <c r="E703" s="639"/>
      <c r="F703" s="846"/>
      <c r="G703" s="577" t="s">
        <v>1900</v>
      </c>
      <c r="H703" s="872"/>
      <c r="I703" s="873"/>
      <c r="J703" s="641"/>
      <c r="K703" s="639"/>
      <c r="L703" s="640"/>
      <c r="M703" s="640"/>
      <c r="N703" s="639"/>
      <c r="O703" s="841"/>
      <c r="P703" s="841"/>
      <c r="Q703" s="883"/>
    </row>
    <row r="704" spans="1:19" s="373" customFormat="1" ht="15.75" thickBot="1">
      <c r="A704" s="884"/>
      <c r="B704" s="355"/>
      <c r="C704" s="355"/>
      <c r="D704" s="355"/>
      <c r="E704" s="355"/>
      <c r="F704" s="356"/>
      <c r="G704" s="576"/>
      <c r="H704" s="358"/>
      <c r="I704" s="358"/>
      <c r="J704" s="358"/>
      <c r="K704" s="358"/>
      <c r="L704" s="359"/>
      <c r="M704" s="359"/>
      <c r="N704" s="358"/>
      <c r="O704" s="770"/>
      <c r="P704" s="770"/>
      <c r="Q704" s="862"/>
    </row>
    <row r="705" spans="1:19" s="373" customFormat="1" ht="60">
      <c r="A705" s="1562" t="s">
        <v>1452</v>
      </c>
      <c r="B705" s="1538" t="s">
        <v>676</v>
      </c>
      <c r="C705" s="1538" t="s">
        <v>610</v>
      </c>
      <c r="D705" s="1538" t="s">
        <v>611</v>
      </c>
      <c r="E705" s="1538" t="s">
        <v>1453</v>
      </c>
      <c r="F705" s="1472" t="s">
        <v>159</v>
      </c>
      <c r="G705" s="1509" t="s">
        <v>110</v>
      </c>
      <c r="H705" s="1477" t="s">
        <v>316</v>
      </c>
      <c r="I705" s="1472" t="s">
        <v>315</v>
      </c>
      <c r="J705" s="1472" t="s">
        <v>317</v>
      </c>
      <c r="K705" s="1472" t="s">
        <v>318</v>
      </c>
      <c r="L705" s="569" t="s">
        <v>1443</v>
      </c>
      <c r="M705" s="569" t="s">
        <v>1444</v>
      </c>
      <c r="N705" s="752" t="s">
        <v>1445</v>
      </c>
      <c r="O705" s="1477" t="s">
        <v>1673</v>
      </c>
      <c r="P705" s="1477" t="s">
        <v>1307</v>
      </c>
      <c r="Q705" s="1495" t="s">
        <v>1454</v>
      </c>
    </row>
    <row r="706" spans="1:19" s="373" customFormat="1" ht="15.75" thickBot="1">
      <c r="A706" s="1563"/>
      <c r="B706" s="1539"/>
      <c r="C706" s="1539"/>
      <c r="D706" s="1539"/>
      <c r="E706" s="1539"/>
      <c r="F706" s="1473"/>
      <c r="G706" s="1510"/>
      <c r="H706" s="1478"/>
      <c r="I706" s="1473"/>
      <c r="J706" s="1473"/>
      <c r="K706" s="1473"/>
      <c r="L706" s="570" t="s">
        <v>805</v>
      </c>
      <c r="M706" s="570" t="s">
        <v>805</v>
      </c>
      <c r="N706" s="753" t="s">
        <v>1149</v>
      </c>
      <c r="O706" s="1478"/>
      <c r="P706" s="1478"/>
      <c r="Q706" s="1496"/>
    </row>
    <row r="707" spans="1:19" s="373" customFormat="1" ht="78" customHeight="1">
      <c r="A707" s="909" t="s">
        <v>712</v>
      </c>
      <c r="B707" s="765" t="s">
        <v>1481</v>
      </c>
      <c r="C707" s="759" t="s">
        <v>712</v>
      </c>
      <c r="D707" s="769">
        <v>3401</v>
      </c>
      <c r="E707" s="758" t="s">
        <v>1451</v>
      </c>
      <c r="F707" s="757" t="s">
        <v>322</v>
      </c>
      <c r="G707" s="412" t="s">
        <v>1390</v>
      </c>
      <c r="H707" s="414" t="s">
        <v>160</v>
      </c>
      <c r="I707" s="756">
        <v>2000</v>
      </c>
      <c r="J707" s="756">
        <f>'preturi unitare'!H23</f>
        <v>68</v>
      </c>
      <c r="K707" s="756">
        <f>I707*J707</f>
        <v>136000</v>
      </c>
      <c r="L707" s="411">
        <f>K707</f>
        <v>136000</v>
      </c>
      <c r="M707" s="411">
        <v>0</v>
      </c>
      <c r="N707" s="756">
        <v>0</v>
      </c>
      <c r="O707" s="756">
        <f>L707</f>
        <v>136000</v>
      </c>
      <c r="P707" s="756">
        <f>O707/D707</f>
        <v>39.988238753307847</v>
      </c>
      <c r="Q707" s="975" t="s">
        <v>1630</v>
      </c>
    </row>
    <row r="708" spans="1:19" s="373" customFormat="1">
      <c r="A708" s="885"/>
      <c r="B708" s="326"/>
      <c r="C708" s="326"/>
      <c r="D708" s="326"/>
      <c r="E708" s="326"/>
      <c r="F708" s="326"/>
      <c r="G708" s="326"/>
      <c r="H708" s="326"/>
      <c r="I708" s="776"/>
      <c r="J708" s="776"/>
      <c r="K708" s="776"/>
      <c r="L708" s="334"/>
      <c r="M708" s="334"/>
      <c r="N708" s="326"/>
      <c r="O708" s="777"/>
      <c r="P708" s="777"/>
      <c r="Q708" s="971"/>
    </row>
    <row r="709" spans="1:19" s="373" customFormat="1">
      <c r="A709" s="1469" t="s">
        <v>577</v>
      </c>
      <c r="B709" s="1470"/>
      <c r="C709" s="1470"/>
      <c r="D709" s="1470"/>
      <c r="E709" s="1470"/>
      <c r="F709" s="1470"/>
      <c r="G709" s="1471"/>
      <c r="H709" s="793"/>
      <c r="I709" s="776"/>
      <c r="J709" s="776"/>
      <c r="K709" s="364">
        <f>SUM(K707:K707)</f>
        <v>136000</v>
      </c>
      <c r="L709" s="365">
        <f>SUM(L707:L707)</f>
        <v>136000</v>
      </c>
      <c r="M709" s="365">
        <f>SUM(M707:M707)</f>
        <v>0</v>
      </c>
      <c r="N709" s="364">
        <f>SUM(N707:N707)</f>
        <v>0</v>
      </c>
      <c r="O709" s="776"/>
      <c r="P709" s="776"/>
      <c r="Q709" s="584"/>
      <c r="S709" s="374"/>
    </row>
    <row r="710" spans="1:19" s="373" customFormat="1" ht="15.75" thickBot="1">
      <c r="A710" s="884"/>
      <c r="B710" s="397"/>
      <c r="C710" s="397"/>
      <c r="D710" s="397"/>
      <c r="E710" s="397"/>
      <c r="F710" s="766"/>
      <c r="G710" s="417"/>
      <c r="H710" s="732"/>
      <c r="I710" s="732"/>
      <c r="J710" s="732"/>
      <c r="K710" s="732"/>
      <c r="L710" s="426"/>
      <c r="M710" s="426"/>
      <c r="N710" s="418"/>
      <c r="O710" s="770"/>
      <c r="P710" s="770"/>
      <c r="Q710" s="862"/>
    </row>
    <row r="711" spans="1:19" s="373" customFormat="1" ht="60">
      <c r="A711" s="1562" t="s">
        <v>1452</v>
      </c>
      <c r="B711" s="1544" t="s">
        <v>617</v>
      </c>
      <c r="C711" s="1538" t="s">
        <v>610</v>
      </c>
      <c r="D711" s="1538" t="s">
        <v>611</v>
      </c>
      <c r="E711" s="1538" t="s">
        <v>1453</v>
      </c>
      <c r="F711" s="1472" t="s">
        <v>159</v>
      </c>
      <c r="G711" s="1509" t="s">
        <v>110</v>
      </c>
      <c r="H711" s="1477" t="s">
        <v>316</v>
      </c>
      <c r="I711" s="1472" t="s">
        <v>315</v>
      </c>
      <c r="J711" s="1472" t="s">
        <v>317</v>
      </c>
      <c r="K711" s="1472" t="s">
        <v>318</v>
      </c>
      <c r="L711" s="569" t="s">
        <v>1443</v>
      </c>
      <c r="M711" s="569" t="s">
        <v>1444</v>
      </c>
      <c r="N711" s="752" t="s">
        <v>1445</v>
      </c>
      <c r="O711" s="1477" t="s">
        <v>1673</v>
      </c>
      <c r="P711" s="1477" t="s">
        <v>1307</v>
      </c>
      <c r="Q711" s="1495" t="s">
        <v>1454</v>
      </c>
    </row>
    <row r="712" spans="1:19" s="373" customFormat="1" ht="15.75" thickBot="1">
      <c r="A712" s="1563"/>
      <c r="B712" s="1545"/>
      <c r="C712" s="1539"/>
      <c r="D712" s="1539"/>
      <c r="E712" s="1539"/>
      <c r="F712" s="1473"/>
      <c r="G712" s="1510"/>
      <c r="H712" s="1478"/>
      <c r="I712" s="1473"/>
      <c r="J712" s="1473"/>
      <c r="K712" s="1473"/>
      <c r="L712" s="570" t="s">
        <v>805</v>
      </c>
      <c r="M712" s="570" t="s">
        <v>805</v>
      </c>
      <c r="N712" s="753" t="s">
        <v>1149</v>
      </c>
      <c r="O712" s="1478"/>
      <c r="P712" s="1478"/>
      <c r="Q712" s="1496"/>
    </row>
    <row r="713" spans="1:19" s="373" customFormat="1" ht="75.75" customHeight="1">
      <c r="A713" s="909" t="s">
        <v>712</v>
      </c>
      <c r="B713" s="765" t="s">
        <v>1482</v>
      </c>
      <c r="C713" s="759" t="s">
        <v>712</v>
      </c>
      <c r="D713" s="769">
        <v>3401</v>
      </c>
      <c r="E713" s="769">
        <f>1.1*D713</f>
        <v>3741.1000000000004</v>
      </c>
      <c r="F713" s="757" t="s">
        <v>325</v>
      </c>
      <c r="G713" s="412" t="s">
        <v>1389</v>
      </c>
      <c r="H713" s="414" t="s">
        <v>160</v>
      </c>
      <c r="I713" s="756">
        <v>6000</v>
      </c>
      <c r="J713" s="756">
        <f>'preturi unitare'!H40</f>
        <v>154</v>
      </c>
      <c r="K713" s="756">
        <f>I713*J713</f>
        <v>924000</v>
      </c>
      <c r="L713" s="411">
        <f>K713</f>
        <v>924000</v>
      </c>
      <c r="M713" s="411">
        <v>0</v>
      </c>
      <c r="N713" s="756">
        <v>0</v>
      </c>
      <c r="O713" s="756">
        <f>L713</f>
        <v>924000</v>
      </c>
      <c r="P713" s="756">
        <f>O713/D713</f>
        <v>271.68479858865038</v>
      </c>
      <c r="Q713" s="977" t="s">
        <v>1631</v>
      </c>
    </row>
    <row r="714" spans="1:19" s="373" customFormat="1">
      <c r="A714" s="885"/>
      <c r="B714" s="761"/>
      <c r="C714" s="761"/>
      <c r="D714" s="761"/>
      <c r="E714" s="761"/>
      <c r="F714" s="762"/>
      <c r="G714" s="384"/>
      <c r="H714" s="776"/>
      <c r="I714" s="776"/>
      <c r="J714" s="776"/>
      <c r="K714" s="776"/>
      <c r="L714" s="334"/>
      <c r="M714" s="334"/>
      <c r="N714" s="326"/>
      <c r="O714" s="776"/>
      <c r="P714" s="776"/>
      <c r="Q714" s="979"/>
    </row>
    <row r="715" spans="1:19" s="373" customFormat="1">
      <c r="A715" s="1532" t="s">
        <v>398</v>
      </c>
      <c r="B715" s="1533"/>
      <c r="C715" s="1533"/>
      <c r="D715" s="1533"/>
      <c r="E715" s="1533"/>
      <c r="F715" s="1533"/>
      <c r="G715" s="1534"/>
      <c r="H715" s="364"/>
      <c r="I715" s="364"/>
      <c r="J715" s="364"/>
      <c r="K715" s="364">
        <f>SUM(K713:K713)</f>
        <v>924000</v>
      </c>
      <c r="L715" s="365">
        <f>SUM(L713:L713)</f>
        <v>924000</v>
      </c>
      <c r="M715" s="365">
        <f>SUM(M713:M713)</f>
        <v>0</v>
      </c>
      <c r="N715" s="364">
        <f>SUM(N713:N713)</f>
        <v>0</v>
      </c>
      <c r="O715" s="776"/>
      <c r="P715" s="776"/>
      <c r="Q715" s="979"/>
    </row>
    <row r="716" spans="1:19" s="373" customFormat="1">
      <c r="A716" s="885"/>
      <c r="B716" s="782"/>
      <c r="C716" s="782"/>
      <c r="D716" s="782"/>
      <c r="E716" s="782"/>
      <c r="F716" s="762"/>
      <c r="G716" s="328"/>
      <c r="H716" s="776"/>
      <c r="I716" s="776"/>
      <c r="J716" s="776"/>
      <c r="K716" s="776"/>
      <c r="L716" s="334"/>
      <c r="M716" s="334"/>
      <c r="N716" s="776"/>
      <c r="O716" s="776"/>
      <c r="P716" s="776"/>
      <c r="Q716" s="979"/>
    </row>
    <row r="717" spans="1:19" s="373" customFormat="1" ht="15" customHeight="1" thickBot="1">
      <c r="A717" s="1474" t="s">
        <v>399</v>
      </c>
      <c r="B717" s="1475"/>
      <c r="C717" s="1475"/>
      <c r="D717" s="1475"/>
      <c r="E717" s="1475"/>
      <c r="F717" s="1475"/>
      <c r="G717" s="1476"/>
      <c r="H717" s="581"/>
      <c r="I717" s="581"/>
      <c r="J717" s="581"/>
      <c r="K717" s="582">
        <f>K709+K715</f>
        <v>1060000</v>
      </c>
      <c r="L717" s="583">
        <f>L709+L715</f>
        <v>1060000</v>
      </c>
      <c r="M717" s="583">
        <f>M709+M715</f>
        <v>0</v>
      </c>
      <c r="N717" s="582">
        <f>N709+N715</f>
        <v>0</v>
      </c>
      <c r="O717" s="581"/>
      <c r="P717" s="581"/>
      <c r="Q717" s="979"/>
    </row>
    <row r="718" spans="1:19" s="373" customFormat="1" ht="15.75" thickBot="1">
      <c r="A718" s="876"/>
      <c r="B718" s="595"/>
      <c r="C718" s="595"/>
      <c r="D718" s="595"/>
      <c r="E718" s="595"/>
      <c r="F718" s="595"/>
      <c r="G718" s="595"/>
      <c r="H718" s="716"/>
      <c r="I718" s="716"/>
      <c r="J718" s="716"/>
      <c r="K718" s="626"/>
      <c r="L718" s="592"/>
      <c r="M718" s="592"/>
      <c r="N718" s="626"/>
      <c r="O718" s="716"/>
      <c r="P718" s="716"/>
      <c r="Q718" s="915"/>
    </row>
    <row r="719" spans="1:19" s="373" customFormat="1" ht="15.75" thickBot="1">
      <c r="A719" s="882"/>
      <c r="B719" s="916"/>
      <c r="C719" s="916"/>
      <c r="D719" s="916"/>
      <c r="E719" s="916"/>
      <c r="F719" s="917"/>
      <c r="G719" s="577" t="s">
        <v>1901</v>
      </c>
      <c r="H719" s="918"/>
      <c r="I719" s="712"/>
      <c r="J719" s="712"/>
      <c r="K719" s="919"/>
      <c r="L719" s="920"/>
      <c r="M719" s="920"/>
      <c r="N719" s="919"/>
      <c r="O719" s="712"/>
      <c r="P719" s="712"/>
      <c r="Q719" s="921"/>
    </row>
    <row r="720" spans="1:19" s="373" customFormat="1" ht="15.75" thickBot="1">
      <c r="A720" s="884"/>
      <c r="B720" s="594"/>
      <c r="C720" s="594"/>
      <c r="D720" s="594"/>
      <c r="E720" s="594"/>
      <c r="F720" s="594"/>
      <c r="G720" s="595"/>
      <c r="H720" s="732"/>
      <c r="I720" s="732"/>
      <c r="J720" s="732"/>
      <c r="K720" s="575"/>
      <c r="L720" s="426"/>
      <c r="M720" s="426"/>
      <c r="N720" s="575"/>
      <c r="O720" s="732"/>
      <c r="P720" s="732"/>
      <c r="Q720" s="922"/>
    </row>
    <row r="721" spans="1:19" s="373" customFormat="1" ht="60">
      <c r="A721" s="1562" t="s">
        <v>1452</v>
      </c>
      <c r="B721" s="1538" t="s">
        <v>676</v>
      </c>
      <c r="C721" s="1564" t="s">
        <v>610</v>
      </c>
      <c r="D721" s="1538" t="s">
        <v>611</v>
      </c>
      <c r="E721" s="1538" t="s">
        <v>1453</v>
      </c>
      <c r="F721" s="1472" t="s">
        <v>159</v>
      </c>
      <c r="G721" s="1509" t="s">
        <v>110</v>
      </c>
      <c r="H721" s="1477" t="s">
        <v>316</v>
      </c>
      <c r="I721" s="1472" t="s">
        <v>315</v>
      </c>
      <c r="J721" s="1472" t="s">
        <v>317</v>
      </c>
      <c r="K721" s="1472" t="s">
        <v>318</v>
      </c>
      <c r="L721" s="569" t="s">
        <v>1443</v>
      </c>
      <c r="M721" s="569" t="s">
        <v>1444</v>
      </c>
      <c r="N721" s="752" t="s">
        <v>1445</v>
      </c>
      <c r="O721" s="1477" t="s">
        <v>1673</v>
      </c>
      <c r="P721" s="1477" t="s">
        <v>1307</v>
      </c>
      <c r="Q721" s="1495" t="s">
        <v>1454</v>
      </c>
    </row>
    <row r="722" spans="1:19" s="373" customFormat="1" ht="15.75" thickBot="1">
      <c r="A722" s="1563"/>
      <c r="B722" s="1539"/>
      <c r="C722" s="1565"/>
      <c r="D722" s="1539"/>
      <c r="E722" s="1539"/>
      <c r="F722" s="1473"/>
      <c r="G722" s="1510"/>
      <c r="H722" s="1478"/>
      <c r="I722" s="1473"/>
      <c r="J722" s="1473"/>
      <c r="K722" s="1473"/>
      <c r="L722" s="570" t="s">
        <v>805</v>
      </c>
      <c r="M722" s="570" t="s">
        <v>805</v>
      </c>
      <c r="N722" s="753" t="s">
        <v>1149</v>
      </c>
      <c r="O722" s="1478"/>
      <c r="P722" s="1478"/>
      <c r="Q722" s="1496"/>
    </row>
    <row r="723" spans="1:19" s="373" customFormat="1" ht="15" hidden="1" customHeight="1">
      <c r="A723" s="896"/>
      <c r="B723" s="1727" t="s">
        <v>612</v>
      </c>
      <c r="C723" s="910"/>
      <c r="D723" s="1479">
        <f>988+633+502+239</f>
        <v>2362</v>
      </c>
      <c r="E723" s="911"/>
      <c r="F723" s="912"/>
      <c r="G723" s="913"/>
      <c r="H723" s="914"/>
      <c r="I723" s="914"/>
      <c r="J723" s="914"/>
      <c r="K723" s="914"/>
      <c r="L723" s="914"/>
      <c r="M723" s="914"/>
      <c r="N723" s="914"/>
      <c r="O723" s="877"/>
      <c r="P723" s="877"/>
      <c r="Q723" s="923"/>
    </row>
    <row r="724" spans="1:19" s="373" customFormat="1" ht="45" customHeight="1">
      <c r="A724" s="1755" t="s">
        <v>1483</v>
      </c>
      <c r="B724" s="1727"/>
      <c r="C724" s="1726" t="s">
        <v>1296</v>
      </c>
      <c r="D724" s="1480"/>
      <c r="E724" s="1747" t="s">
        <v>1451</v>
      </c>
      <c r="F724" s="1600" t="s">
        <v>619</v>
      </c>
      <c r="G724" s="329" t="s">
        <v>1516</v>
      </c>
      <c r="H724" s="776" t="s">
        <v>160</v>
      </c>
      <c r="I724" s="776">
        <v>1500</v>
      </c>
      <c r="J724" s="776">
        <f>'preturi unitare'!H23</f>
        <v>68</v>
      </c>
      <c r="K724" s="776">
        <f t="shared" ref="K724:K733" si="64">I724*J724</f>
        <v>102000</v>
      </c>
      <c r="L724" s="334">
        <f t="shared" ref="L724:L729" si="65">K724</f>
        <v>102000</v>
      </c>
      <c r="M724" s="334">
        <v>0</v>
      </c>
      <c r="N724" s="376">
        <v>0</v>
      </c>
      <c r="O724" s="1482">
        <f>L735</f>
        <v>1243300</v>
      </c>
      <c r="P724" s="1482">
        <f>O724/D723</f>
        <v>526.37595258255715</v>
      </c>
      <c r="Q724" s="1649" t="s">
        <v>1674</v>
      </c>
    </row>
    <row r="725" spans="1:19" s="373" customFormat="1" ht="30">
      <c r="A725" s="1730"/>
      <c r="B725" s="1727"/>
      <c r="C725" s="1727"/>
      <c r="D725" s="1480"/>
      <c r="E725" s="1479"/>
      <c r="F725" s="1600"/>
      <c r="G725" s="329" t="s">
        <v>1297</v>
      </c>
      <c r="H725" s="807" t="s">
        <v>160</v>
      </c>
      <c r="I725" s="776">
        <v>2000</v>
      </c>
      <c r="J725" s="776">
        <f>'preturi unitare'!H24</f>
        <v>79</v>
      </c>
      <c r="K725" s="776">
        <f t="shared" si="64"/>
        <v>158000</v>
      </c>
      <c r="L725" s="334">
        <f t="shared" si="65"/>
        <v>158000</v>
      </c>
      <c r="M725" s="334">
        <v>0</v>
      </c>
      <c r="N725" s="376">
        <v>0</v>
      </c>
      <c r="O725" s="1482"/>
      <c r="P725" s="1482"/>
      <c r="Q725" s="1650"/>
    </row>
    <row r="726" spans="1:19" s="373" customFormat="1" ht="51" customHeight="1">
      <c r="A726" s="1730"/>
      <c r="B726" s="1727"/>
      <c r="C726" s="1727"/>
      <c r="D726" s="1480"/>
      <c r="E726" s="1479"/>
      <c r="F726" s="762" t="s">
        <v>321</v>
      </c>
      <c r="G726" s="329" t="s">
        <v>1298</v>
      </c>
      <c r="H726" s="807" t="s">
        <v>280</v>
      </c>
      <c r="I726" s="776">
        <v>1</v>
      </c>
      <c r="J726" s="776">
        <f>'preturi unitare'!H5</f>
        <v>70000</v>
      </c>
      <c r="K726" s="776">
        <f t="shared" si="64"/>
        <v>70000</v>
      </c>
      <c r="L726" s="334">
        <f t="shared" si="65"/>
        <v>70000</v>
      </c>
      <c r="M726" s="334">
        <v>0</v>
      </c>
      <c r="N726" s="376">
        <v>0</v>
      </c>
      <c r="O726" s="1482"/>
      <c r="P726" s="1482"/>
      <c r="Q726" s="1650"/>
    </row>
    <row r="727" spans="1:19" s="373" customFormat="1" ht="30">
      <c r="A727" s="1730"/>
      <c r="B727" s="1727"/>
      <c r="C727" s="1727"/>
      <c r="D727" s="1480"/>
      <c r="E727" s="1479"/>
      <c r="F727" s="1600" t="s">
        <v>1299</v>
      </c>
      <c r="G727" s="329" t="s">
        <v>1300</v>
      </c>
      <c r="H727" s="807" t="s">
        <v>160</v>
      </c>
      <c r="I727" s="776">
        <v>2500</v>
      </c>
      <c r="J727" s="776">
        <f>'preturi unitare'!H22</f>
        <v>64</v>
      </c>
      <c r="K727" s="776">
        <f t="shared" si="64"/>
        <v>160000</v>
      </c>
      <c r="L727" s="334">
        <f t="shared" si="65"/>
        <v>160000</v>
      </c>
      <c r="M727" s="334">
        <v>0</v>
      </c>
      <c r="N727" s="376">
        <v>0</v>
      </c>
      <c r="O727" s="1482"/>
      <c r="P727" s="1482"/>
      <c r="Q727" s="1650"/>
    </row>
    <row r="728" spans="1:19" s="373" customFormat="1" ht="30">
      <c r="A728" s="1730"/>
      <c r="B728" s="1727"/>
      <c r="C728" s="1727"/>
      <c r="D728" s="1480"/>
      <c r="E728" s="1479"/>
      <c r="F728" s="1600"/>
      <c r="G728" s="329" t="s">
        <v>1301</v>
      </c>
      <c r="H728" s="807" t="s">
        <v>160</v>
      </c>
      <c r="I728" s="776">
        <v>2200</v>
      </c>
      <c r="J728" s="776">
        <f>'preturi unitare'!H23</f>
        <v>68</v>
      </c>
      <c r="K728" s="776">
        <f t="shared" si="64"/>
        <v>149600</v>
      </c>
      <c r="L728" s="334">
        <f t="shared" si="65"/>
        <v>149600</v>
      </c>
      <c r="M728" s="334">
        <v>0</v>
      </c>
      <c r="N728" s="376">
        <v>0</v>
      </c>
      <c r="O728" s="1482"/>
      <c r="P728" s="1482"/>
      <c r="Q728" s="1650"/>
    </row>
    <row r="729" spans="1:19" s="373" customFormat="1" ht="47.25">
      <c r="A729" s="1730"/>
      <c r="B729" s="1727"/>
      <c r="C729" s="1727"/>
      <c r="D729" s="1480"/>
      <c r="E729" s="1479"/>
      <c r="F729" s="762" t="s">
        <v>279</v>
      </c>
      <c r="G729" s="329" t="s">
        <v>1703</v>
      </c>
      <c r="H729" s="653" t="s">
        <v>280</v>
      </c>
      <c r="I729" s="776">
        <v>1</v>
      </c>
      <c r="J729" s="776">
        <f>'preturi unitare'!E26+'preturi unitare'!E6</f>
        <v>66500</v>
      </c>
      <c r="K729" s="776">
        <f t="shared" si="64"/>
        <v>66500</v>
      </c>
      <c r="L729" s="334">
        <f t="shared" si="65"/>
        <v>66500</v>
      </c>
      <c r="M729" s="334">
        <v>0</v>
      </c>
      <c r="N729" s="376">
        <v>0</v>
      </c>
      <c r="O729" s="1482"/>
      <c r="P729" s="1482"/>
      <c r="Q729" s="1650"/>
    </row>
    <row r="730" spans="1:19" s="373" customFormat="1" ht="30">
      <c r="A730" s="1730"/>
      <c r="B730" s="1727"/>
      <c r="C730" s="1727"/>
      <c r="D730" s="1480"/>
      <c r="E730" s="1479"/>
      <c r="F730" s="1600" t="s">
        <v>1299</v>
      </c>
      <c r="G730" s="362" t="s">
        <v>1514</v>
      </c>
      <c r="H730" s="807" t="s">
        <v>160</v>
      </c>
      <c r="I730" s="776">
        <v>2600</v>
      </c>
      <c r="J730" s="776">
        <f>J727</f>
        <v>64</v>
      </c>
      <c r="K730" s="776">
        <f t="shared" si="64"/>
        <v>166400</v>
      </c>
      <c r="L730" s="334">
        <f>K730</f>
        <v>166400</v>
      </c>
      <c r="M730" s="334">
        <v>0</v>
      </c>
      <c r="N730" s="376">
        <v>0</v>
      </c>
      <c r="O730" s="1482"/>
      <c r="P730" s="1482"/>
      <c r="Q730" s="1650"/>
    </row>
    <row r="731" spans="1:19" s="373" customFormat="1" ht="30">
      <c r="A731" s="1730"/>
      <c r="B731" s="1727"/>
      <c r="C731" s="1727"/>
      <c r="D731" s="1480"/>
      <c r="E731" s="1479"/>
      <c r="F731" s="1600"/>
      <c r="G731" s="362" t="s">
        <v>1515</v>
      </c>
      <c r="H731" s="807" t="s">
        <v>160</v>
      </c>
      <c r="I731" s="776">
        <v>1700</v>
      </c>
      <c r="J731" s="776">
        <f>J728</f>
        <v>68</v>
      </c>
      <c r="K731" s="776">
        <f t="shared" si="64"/>
        <v>115600</v>
      </c>
      <c r="L731" s="334">
        <f>K731</f>
        <v>115600</v>
      </c>
      <c r="M731" s="334">
        <v>0</v>
      </c>
      <c r="N731" s="376">
        <v>0</v>
      </c>
      <c r="O731" s="1482"/>
      <c r="P731" s="1482"/>
      <c r="Q731" s="1650"/>
    </row>
    <row r="732" spans="1:19" s="373" customFormat="1" ht="45">
      <c r="A732" s="1730"/>
      <c r="B732" s="1727"/>
      <c r="C732" s="1727"/>
      <c r="D732" s="1480"/>
      <c r="E732" s="1479"/>
      <c r="F732" s="762" t="s">
        <v>619</v>
      </c>
      <c r="G732" s="329" t="s">
        <v>1302</v>
      </c>
      <c r="H732" s="807" t="s">
        <v>160</v>
      </c>
      <c r="I732" s="807">
        <v>3000</v>
      </c>
      <c r="J732" s="776">
        <f>J728</f>
        <v>68</v>
      </c>
      <c r="K732" s="776">
        <f t="shared" si="64"/>
        <v>204000</v>
      </c>
      <c r="L732" s="334">
        <f>K732</f>
        <v>204000</v>
      </c>
      <c r="M732" s="334">
        <v>0</v>
      </c>
      <c r="N732" s="376">
        <v>0</v>
      </c>
      <c r="O732" s="1482"/>
      <c r="P732" s="1482"/>
      <c r="Q732" s="1650"/>
    </row>
    <row r="733" spans="1:19" s="373" customFormat="1" ht="45">
      <c r="A733" s="1731"/>
      <c r="B733" s="1728"/>
      <c r="C733" s="1728"/>
      <c r="D733" s="1481"/>
      <c r="E733" s="1748"/>
      <c r="F733" s="762" t="s">
        <v>619</v>
      </c>
      <c r="G733" s="329" t="s">
        <v>1303</v>
      </c>
      <c r="H733" s="807" t="s">
        <v>160</v>
      </c>
      <c r="I733" s="807">
        <v>800</v>
      </c>
      <c r="J733" s="776">
        <v>64</v>
      </c>
      <c r="K733" s="776">
        <f t="shared" si="64"/>
        <v>51200</v>
      </c>
      <c r="L733" s="334">
        <f>K733</f>
        <v>51200</v>
      </c>
      <c r="M733" s="334">
        <v>0</v>
      </c>
      <c r="N733" s="376">
        <v>0</v>
      </c>
      <c r="O733" s="1482"/>
      <c r="P733" s="1482"/>
      <c r="Q733" s="1651"/>
    </row>
    <row r="734" spans="1:19" s="373" customFormat="1">
      <c r="A734" s="885"/>
      <c r="B734" s="761"/>
      <c r="C734" s="761"/>
      <c r="D734" s="761"/>
      <c r="E734" s="761"/>
      <c r="F734" s="762"/>
      <c r="G734" s="329"/>
      <c r="H734" s="653"/>
      <c r="I734" s="776"/>
      <c r="J734" s="776"/>
      <c r="K734" s="776"/>
      <c r="L734" s="334"/>
      <c r="M734" s="334"/>
      <c r="N734" s="376"/>
      <c r="O734" s="387"/>
      <c r="P734" s="387"/>
      <c r="Q734" s="895"/>
    </row>
    <row r="735" spans="1:19" s="373" customFormat="1">
      <c r="A735" s="1733" t="s">
        <v>1304</v>
      </c>
      <c r="B735" s="1734"/>
      <c r="C735" s="1734"/>
      <c r="D735" s="1734"/>
      <c r="E735" s="1734"/>
      <c r="F735" s="1734"/>
      <c r="G735" s="1735"/>
      <c r="H735" s="571"/>
      <c r="I735" s="572"/>
      <c r="J735" s="572"/>
      <c r="K735" s="573">
        <f>SUM(K724:K733)</f>
        <v>1243300</v>
      </c>
      <c r="L735" s="574">
        <f>SUM(L724:L733)</f>
        <v>1243300</v>
      </c>
      <c r="M735" s="574">
        <f>SUM(M724:M733)</f>
        <v>0</v>
      </c>
      <c r="N735" s="633">
        <f>SUM(N724:N733)</f>
        <v>0</v>
      </c>
      <c r="O735" s="415"/>
      <c r="P735" s="415"/>
      <c r="Q735" s="895"/>
      <c r="S735" s="374"/>
    </row>
    <row r="736" spans="1:19" s="373" customFormat="1" ht="15.75" thickBot="1">
      <c r="A736" s="884"/>
      <c r="B736" s="355"/>
      <c r="C736" s="355"/>
      <c r="D736" s="355"/>
      <c r="E736" s="355"/>
      <c r="F736" s="356"/>
      <c r="G736" s="357"/>
      <c r="H736" s="358"/>
      <c r="I736" s="358"/>
      <c r="J736" s="358"/>
      <c r="K736" s="358"/>
      <c r="L736" s="359"/>
      <c r="M736" s="359"/>
      <c r="N736" s="358"/>
      <c r="O736" s="419"/>
      <c r="P736" s="419"/>
      <c r="Q736" s="862"/>
    </row>
    <row r="737" spans="1:17" s="373" customFormat="1" ht="60">
      <c r="A737" s="1562" t="s">
        <v>1452</v>
      </c>
      <c r="B737" s="1544" t="s">
        <v>617</v>
      </c>
      <c r="C737" s="1538" t="s">
        <v>610</v>
      </c>
      <c r="D737" s="1538" t="s">
        <v>611</v>
      </c>
      <c r="E737" s="1538" t="s">
        <v>1453</v>
      </c>
      <c r="F737" s="1472" t="s">
        <v>159</v>
      </c>
      <c r="G737" s="1509" t="s">
        <v>110</v>
      </c>
      <c r="H737" s="1477" t="s">
        <v>316</v>
      </c>
      <c r="I737" s="1472" t="s">
        <v>315</v>
      </c>
      <c r="J737" s="1472" t="s">
        <v>317</v>
      </c>
      <c r="K737" s="1472" t="s">
        <v>318</v>
      </c>
      <c r="L737" s="569" t="s">
        <v>1443</v>
      </c>
      <c r="M737" s="569" t="s">
        <v>1444</v>
      </c>
      <c r="N737" s="752" t="s">
        <v>1445</v>
      </c>
      <c r="O737" s="1477" t="s">
        <v>1673</v>
      </c>
      <c r="P737" s="1477" t="s">
        <v>1307</v>
      </c>
      <c r="Q737" s="1495" t="s">
        <v>1454</v>
      </c>
    </row>
    <row r="738" spans="1:17" s="373" customFormat="1" ht="15.75" thickBot="1">
      <c r="A738" s="1563"/>
      <c r="B738" s="1545"/>
      <c r="C738" s="1539"/>
      <c r="D738" s="1539"/>
      <c r="E738" s="1539"/>
      <c r="F738" s="1473"/>
      <c r="G738" s="1510"/>
      <c r="H738" s="1478"/>
      <c r="I738" s="1473"/>
      <c r="J738" s="1473"/>
      <c r="K738" s="1473"/>
      <c r="L738" s="570" t="s">
        <v>805</v>
      </c>
      <c r="M738" s="570" t="s">
        <v>805</v>
      </c>
      <c r="N738" s="753" t="s">
        <v>1149</v>
      </c>
      <c r="O738" s="1478"/>
      <c r="P738" s="1478"/>
      <c r="Q738" s="1496"/>
    </row>
    <row r="739" spans="1:17" s="373" customFormat="1" ht="30">
      <c r="A739" s="1736" t="s">
        <v>1449</v>
      </c>
      <c r="B739" s="1566" t="s">
        <v>1451</v>
      </c>
      <c r="C739" s="1540" t="s">
        <v>1483</v>
      </c>
      <c r="D739" s="1601">
        <v>998</v>
      </c>
      <c r="E739" s="1601">
        <v>998</v>
      </c>
      <c r="F739" s="743" t="s">
        <v>323</v>
      </c>
      <c r="G739" s="866" t="s">
        <v>1686</v>
      </c>
      <c r="H739" s="1028" t="s">
        <v>280</v>
      </c>
      <c r="I739" s="1118">
        <v>1</v>
      </c>
      <c r="J739" s="1118">
        <f>'preturi unitare'!O34</f>
        <v>265000</v>
      </c>
      <c r="K739" s="1118">
        <f t="shared" ref="K739" si="66">I739*J739</f>
        <v>265000</v>
      </c>
      <c r="L739" s="939">
        <v>0</v>
      </c>
      <c r="M739" s="939">
        <f>K739</f>
        <v>265000</v>
      </c>
      <c r="N739" s="420">
        <v>0</v>
      </c>
      <c r="O739" s="1555">
        <f>SUM(K739:K741)</f>
        <v>794000</v>
      </c>
      <c r="P739" s="1555">
        <f>O739/E739</f>
        <v>795.59118236472943</v>
      </c>
      <c r="Q739" s="1497" t="s">
        <v>1704</v>
      </c>
    </row>
    <row r="740" spans="1:17" s="373" customFormat="1" ht="30">
      <c r="A740" s="1736"/>
      <c r="B740" s="1567"/>
      <c r="C740" s="1541"/>
      <c r="D740" s="1602"/>
      <c r="E740" s="1602"/>
      <c r="F740" s="1128" t="s">
        <v>324</v>
      </c>
      <c r="G740" s="398" t="s">
        <v>764</v>
      </c>
      <c r="H740" s="807" t="s">
        <v>280</v>
      </c>
      <c r="I740" s="1119">
        <v>1</v>
      </c>
      <c r="J740" s="1119">
        <f>'preturi unitare'!B32</f>
        <v>67000</v>
      </c>
      <c r="K740" s="1119">
        <f t="shared" ref="K740:K751" si="67">I740*J740</f>
        <v>67000</v>
      </c>
      <c r="L740" s="334">
        <v>0</v>
      </c>
      <c r="M740" s="334">
        <f t="shared" ref="M740:M751" si="68">K740</f>
        <v>67000</v>
      </c>
      <c r="N740" s="420">
        <v>0</v>
      </c>
      <c r="O740" s="1482"/>
      <c r="P740" s="1482"/>
      <c r="Q740" s="1498"/>
    </row>
    <row r="741" spans="1:17" s="373" customFormat="1" ht="30">
      <c r="A741" s="1736"/>
      <c r="B741" s="1567"/>
      <c r="C741" s="1541"/>
      <c r="D741" s="1602"/>
      <c r="E741" s="1602"/>
      <c r="F741" s="1128" t="s">
        <v>325</v>
      </c>
      <c r="G741" s="398" t="s">
        <v>841</v>
      </c>
      <c r="H741" s="807" t="s">
        <v>160</v>
      </c>
      <c r="I741" s="1119">
        <v>3000</v>
      </c>
      <c r="J741" s="1119">
        <f>'preturi unitare'!H40</f>
        <v>154</v>
      </c>
      <c r="K741" s="1119">
        <f t="shared" si="67"/>
        <v>462000</v>
      </c>
      <c r="L741" s="334">
        <v>0</v>
      </c>
      <c r="M741" s="334">
        <f t="shared" si="68"/>
        <v>462000</v>
      </c>
      <c r="N741" s="420">
        <v>0</v>
      </c>
      <c r="O741" s="1482"/>
      <c r="P741" s="1482"/>
      <c r="Q741" s="1499"/>
    </row>
    <row r="742" spans="1:17" s="373" customFormat="1" ht="30">
      <c r="A742" s="1736"/>
      <c r="B742" s="1567" t="s">
        <v>1451</v>
      </c>
      <c r="C742" s="1541" t="s">
        <v>1682</v>
      </c>
      <c r="D742" s="1602">
        <v>633</v>
      </c>
      <c r="E742" s="1602">
        <v>633</v>
      </c>
      <c r="F742" s="1128" t="s">
        <v>323</v>
      </c>
      <c r="G742" s="362" t="s">
        <v>1687</v>
      </c>
      <c r="H742" s="807" t="s">
        <v>280</v>
      </c>
      <c r="I742" s="1119">
        <v>1</v>
      </c>
      <c r="J742" s="1119">
        <f>'preturi unitare'!O27</f>
        <v>106500</v>
      </c>
      <c r="K742" s="1119">
        <f t="shared" si="67"/>
        <v>106500</v>
      </c>
      <c r="L742" s="334">
        <v>0</v>
      </c>
      <c r="M742" s="334">
        <f t="shared" si="68"/>
        <v>106500</v>
      </c>
      <c r="N742" s="420">
        <v>0</v>
      </c>
      <c r="O742" s="1482">
        <f>SUM(K742:K744)</f>
        <v>789500</v>
      </c>
      <c r="P742" s="1482">
        <f>O742/E742</f>
        <v>1247.2353870458137</v>
      </c>
      <c r="Q742" s="1500" t="s">
        <v>1705</v>
      </c>
    </row>
    <row r="743" spans="1:17" s="373" customFormat="1" ht="30">
      <c r="A743" s="1736"/>
      <c r="B743" s="1567"/>
      <c r="C743" s="1541"/>
      <c r="D743" s="1602"/>
      <c r="E743" s="1602"/>
      <c r="F743" s="1128" t="s">
        <v>324</v>
      </c>
      <c r="G743" s="398" t="s">
        <v>764</v>
      </c>
      <c r="H743" s="807" t="s">
        <v>280</v>
      </c>
      <c r="I743" s="1119">
        <v>1</v>
      </c>
      <c r="J743" s="1119">
        <f>J740</f>
        <v>67000</v>
      </c>
      <c r="K743" s="1119">
        <f t="shared" si="67"/>
        <v>67000</v>
      </c>
      <c r="L743" s="334">
        <v>0</v>
      </c>
      <c r="M743" s="334">
        <f t="shared" si="68"/>
        <v>67000</v>
      </c>
      <c r="N743" s="420">
        <v>0</v>
      </c>
      <c r="O743" s="1482"/>
      <c r="P743" s="1482"/>
      <c r="Q743" s="1498"/>
    </row>
    <row r="744" spans="1:17" s="373" customFormat="1" ht="30">
      <c r="A744" s="1736"/>
      <c r="B744" s="1567"/>
      <c r="C744" s="1541"/>
      <c r="D744" s="1602"/>
      <c r="E744" s="1602"/>
      <c r="F744" s="1128" t="s">
        <v>325</v>
      </c>
      <c r="G744" s="362" t="s">
        <v>842</v>
      </c>
      <c r="H744" s="807" t="s">
        <v>160</v>
      </c>
      <c r="I744" s="1119">
        <v>4000</v>
      </c>
      <c r="J744" s="1119">
        <f>J741</f>
        <v>154</v>
      </c>
      <c r="K744" s="1119">
        <f t="shared" si="67"/>
        <v>616000</v>
      </c>
      <c r="L744" s="334">
        <v>0</v>
      </c>
      <c r="M744" s="334">
        <f t="shared" si="68"/>
        <v>616000</v>
      </c>
      <c r="N744" s="420">
        <v>0</v>
      </c>
      <c r="O744" s="1482"/>
      <c r="P744" s="1482"/>
      <c r="Q744" s="1499"/>
    </row>
    <row r="745" spans="1:17" s="373" customFormat="1" ht="30">
      <c r="A745" s="1736"/>
      <c r="B745" s="1567" t="s">
        <v>1451</v>
      </c>
      <c r="C745" s="1541" t="s">
        <v>1683</v>
      </c>
      <c r="D745" s="1602">
        <v>502</v>
      </c>
      <c r="E745" s="1602">
        <v>502</v>
      </c>
      <c r="F745" s="1128" t="s">
        <v>323</v>
      </c>
      <c r="G745" s="362" t="s">
        <v>1688</v>
      </c>
      <c r="H745" s="807" t="s">
        <v>280</v>
      </c>
      <c r="I745" s="1119">
        <v>1</v>
      </c>
      <c r="J745" s="1119">
        <f>'preturi unitare'!O26</f>
        <v>94000</v>
      </c>
      <c r="K745" s="1119">
        <f t="shared" si="67"/>
        <v>94000</v>
      </c>
      <c r="L745" s="334">
        <v>0</v>
      </c>
      <c r="M745" s="334">
        <f t="shared" si="68"/>
        <v>94000</v>
      </c>
      <c r="N745" s="420">
        <v>0</v>
      </c>
      <c r="O745" s="1482">
        <f>SUM(K745:K747)</f>
        <v>546000</v>
      </c>
      <c r="P745" s="1482">
        <f>O745/E745</f>
        <v>1087.6494023904384</v>
      </c>
      <c r="Q745" s="1500" t="s">
        <v>1706</v>
      </c>
    </row>
    <row r="746" spans="1:17" s="373" customFormat="1" ht="30">
      <c r="A746" s="1736"/>
      <c r="B746" s="1567"/>
      <c r="C746" s="1541"/>
      <c r="D746" s="1602"/>
      <c r="E746" s="1602"/>
      <c r="F746" s="1128" t="s">
        <v>324</v>
      </c>
      <c r="G746" s="398" t="s">
        <v>764</v>
      </c>
      <c r="H746" s="807" t="s">
        <v>280</v>
      </c>
      <c r="I746" s="1119">
        <v>1</v>
      </c>
      <c r="J746" s="1119">
        <f>J743</f>
        <v>67000</v>
      </c>
      <c r="K746" s="1119">
        <f t="shared" si="67"/>
        <v>67000</v>
      </c>
      <c r="L746" s="334">
        <v>0</v>
      </c>
      <c r="M746" s="334">
        <f t="shared" si="68"/>
        <v>67000</v>
      </c>
      <c r="N746" s="420">
        <v>0</v>
      </c>
      <c r="O746" s="1482"/>
      <c r="P746" s="1482"/>
      <c r="Q746" s="1498"/>
    </row>
    <row r="747" spans="1:17" s="373" customFormat="1" ht="30">
      <c r="A747" s="1736"/>
      <c r="B747" s="1567"/>
      <c r="C747" s="1541"/>
      <c r="D747" s="1602"/>
      <c r="E747" s="1602"/>
      <c r="F747" s="1128" t="s">
        <v>325</v>
      </c>
      <c r="G747" s="362" t="s">
        <v>844</v>
      </c>
      <c r="H747" s="807" t="s">
        <v>160</v>
      </c>
      <c r="I747" s="1119">
        <v>2500</v>
      </c>
      <c r="J747" s="1119">
        <f>J744</f>
        <v>154</v>
      </c>
      <c r="K747" s="1119">
        <f t="shared" si="67"/>
        <v>385000</v>
      </c>
      <c r="L747" s="334">
        <v>0</v>
      </c>
      <c r="M747" s="334">
        <f t="shared" si="68"/>
        <v>385000</v>
      </c>
      <c r="N747" s="420">
        <v>0</v>
      </c>
      <c r="O747" s="1482"/>
      <c r="P747" s="1482"/>
      <c r="Q747" s="1499"/>
    </row>
    <row r="748" spans="1:17" s="373" customFormat="1" ht="45">
      <c r="A748" s="1736"/>
      <c r="B748" s="1016" t="s">
        <v>1451</v>
      </c>
      <c r="C748" s="1030" t="s">
        <v>1684</v>
      </c>
      <c r="D748" s="1031">
        <v>239</v>
      </c>
      <c r="E748" s="1017">
        <v>239</v>
      </c>
      <c r="F748" s="1128" t="s">
        <v>323</v>
      </c>
      <c r="G748" s="329" t="s">
        <v>2095</v>
      </c>
      <c r="H748" s="807" t="s">
        <v>280</v>
      </c>
      <c r="I748" s="1119">
        <v>1</v>
      </c>
      <c r="J748" s="1119">
        <f>'preturi unitare'!N4</f>
        <v>70000</v>
      </c>
      <c r="K748" s="1119">
        <f t="shared" si="67"/>
        <v>70000</v>
      </c>
      <c r="L748" s="334">
        <v>0</v>
      </c>
      <c r="M748" s="334">
        <f>K748</f>
        <v>70000</v>
      </c>
      <c r="N748" s="420">
        <v>0</v>
      </c>
      <c r="O748" s="1043">
        <f>K748</f>
        <v>70000</v>
      </c>
      <c r="P748" s="1043">
        <f>O748/E748</f>
        <v>292.88702928870293</v>
      </c>
      <c r="Q748" s="1054" t="s">
        <v>1707</v>
      </c>
    </row>
    <row r="749" spans="1:17" s="373" customFormat="1" ht="30">
      <c r="A749" s="1736"/>
      <c r="B749" s="1567" t="s">
        <v>1451</v>
      </c>
      <c r="C749" s="1541" t="s">
        <v>1685</v>
      </c>
      <c r="D749" s="1602">
        <v>823</v>
      </c>
      <c r="E749" s="1602">
        <v>823</v>
      </c>
      <c r="F749" s="1128" t="s">
        <v>323</v>
      </c>
      <c r="G749" s="362" t="s">
        <v>1689</v>
      </c>
      <c r="H749" s="807" t="s">
        <v>280</v>
      </c>
      <c r="I749" s="1119">
        <v>1</v>
      </c>
      <c r="J749" s="1119">
        <f>'preturi unitare'!O28</f>
        <v>120000</v>
      </c>
      <c r="K749" s="1119">
        <f t="shared" si="67"/>
        <v>120000</v>
      </c>
      <c r="L749" s="334">
        <v>0</v>
      </c>
      <c r="M749" s="334">
        <f t="shared" si="68"/>
        <v>120000</v>
      </c>
      <c r="N749" s="420">
        <v>0</v>
      </c>
      <c r="O749" s="1482">
        <f>SUM(K749:K751)</f>
        <v>803000</v>
      </c>
      <c r="P749" s="1482">
        <f>O749/E749</f>
        <v>975.69866342648845</v>
      </c>
      <c r="Q749" s="1500" t="s">
        <v>1708</v>
      </c>
    </row>
    <row r="750" spans="1:17" s="373" customFormat="1" ht="30">
      <c r="A750" s="1736"/>
      <c r="B750" s="1567"/>
      <c r="C750" s="1541"/>
      <c r="D750" s="1602"/>
      <c r="E750" s="1602"/>
      <c r="F750" s="1128" t="s">
        <v>324</v>
      </c>
      <c r="G750" s="398" t="s">
        <v>764</v>
      </c>
      <c r="H750" s="807" t="s">
        <v>280</v>
      </c>
      <c r="I750" s="1119">
        <v>1</v>
      </c>
      <c r="J750" s="1119">
        <f>J743</f>
        <v>67000</v>
      </c>
      <c r="K750" s="1119">
        <f t="shared" si="67"/>
        <v>67000</v>
      </c>
      <c r="L750" s="334">
        <v>0</v>
      </c>
      <c r="M750" s="334">
        <f t="shared" si="68"/>
        <v>67000</v>
      </c>
      <c r="N750" s="420">
        <v>0</v>
      </c>
      <c r="O750" s="1482"/>
      <c r="P750" s="1482"/>
      <c r="Q750" s="1498"/>
    </row>
    <row r="751" spans="1:17" s="373" customFormat="1" ht="30">
      <c r="A751" s="1736"/>
      <c r="B751" s="1567"/>
      <c r="C751" s="1541"/>
      <c r="D751" s="1602"/>
      <c r="E751" s="1602"/>
      <c r="F751" s="1019" t="s">
        <v>325</v>
      </c>
      <c r="G751" s="362" t="s">
        <v>843</v>
      </c>
      <c r="H751" s="807" t="s">
        <v>160</v>
      </c>
      <c r="I751" s="1021">
        <v>4000</v>
      </c>
      <c r="J751" s="1021">
        <f>J747</f>
        <v>154</v>
      </c>
      <c r="K751" s="1021">
        <f t="shared" si="67"/>
        <v>616000</v>
      </c>
      <c r="L751" s="334">
        <v>0</v>
      </c>
      <c r="M751" s="334">
        <f t="shared" si="68"/>
        <v>616000</v>
      </c>
      <c r="N751" s="420">
        <v>0</v>
      </c>
      <c r="O751" s="1482"/>
      <c r="P751" s="1482"/>
      <c r="Q751" s="1499"/>
    </row>
    <row r="752" spans="1:17" s="373" customFormat="1">
      <c r="A752" s="885"/>
      <c r="B752" s="761"/>
      <c r="C752" s="761"/>
      <c r="D752" s="761"/>
      <c r="E752" s="761"/>
      <c r="F752" s="762"/>
      <c r="G752" s="384"/>
      <c r="H752" s="807"/>
      <c r="I752" s="807"/>
      <c r="J752" s="807"/>
      <c r="K752" s="776"/>
      <c r="L752" s="334"/>
      <c r="M752" s="334"/>
      <c r="N752" s="375"/>
      <c r="O752" s="387"/>
      <c r="P752" s="387"/>
      <c r="Q752" s="584"/>
    </row>
    <row r="753" spans="1:19" s="373" customFormat="1">
      <c r="A753" s="1532" t="s">
        <v>446</v>
      </c>
      <c r="B753" s="1533"/>
      <c r="C753" s="1533"/>
      <c r="D753" s="1533"/>
      <c r="E753" s="1533"/>
      <c r="F753" s="1533"/>
      <c r="G753" s="1534"/>
      <c r="H753" s="364"/>
      <c r="I753" s="364"/>
      <c r="J753" s="364"/>
      <c r="K753" s="364">
        <f>SUM(K739:K751)</f>
        <v>3002500</v>
      </c>
      <c r="L753" s="365">
        <f>SUM(L739:L751)</f>
        <v>0</v>
      </c>
      <c r="M753" s="365">
        <f>SUM(M739:M751)</f>
        <v>3002500</v>
      </c>
      <c r="N753" s="364">
        <f>SUM(N739:N751)</f>
        <v>0</v>
      </c>
      <c r="O753" s="415"/>
      <c r="P753" s="387"/>
      <c r="Q753" s="584"/>
    </row>
    <row r="754" spans="1:19" s="373" customFormat="1">
      <c r="A754" s="885"/>
      <c r="B754" s="782"/>
      <c r="C754" s="782"/>
      <c r="D754" s="782"/>
      <c r="E754" s="782"/>
      <c r="F754" s="762"/>
      <c r="G754" s="328"/>
      <c r="H754" s="776"/>
      <c r="I754" s="776"/>
      <c r="J754" s="776"/>
      <c r="K754" s="776"/>
      <c r="L754" s="776"/>
      <c r="M754" s="776"/>
      <c r="N754" s="776"/>
      <c r="O754" s="387"/>
      <c r="P754" s="387"/>
      <c r="Q754" s="584"/>
    </row>
    <row r="755" spans="1:19" s="373" customFormat="1" ht="15" customHeight="1" thickBot="1">
      <c r="A755" s="1474" t="s">
        <v>447</v>
      </c>
      <c r="B755" s="1475"/>
      <c r="C755" s="1475"/>
      <c r="D755" s="1475"/>
      <c r="E755" s="1475"/>
      <c r="F755" s="1475"/>
      <c r="G755" s="1476"/>
      <c r="H755" s="581"/>
      <c r="I755" s="581"/>
      <c r="J755" s="581"/>
      <c r="K755" s="582">
        <f>K753+K735</f>
        <v>4245800</v>
      </c>
      <c r="L755" s="583">
        <f>L753+L735</f>
        <v>1243300</v>
      </c>
      <c r="M755" s="583">
        <f>M753</f>
        <v>3002500</v>
      </c>
      <c r="N755" s="582">
        <f>N753</f>
        <v>0</v>
      </c>
      <c r="O755" s="580"/>
      <c r="P755" s="580"/>
      <c r="Q755" s="886"/>
    </row>
    <row r="756" spans="1:19" s="373" customFormat="1" ht="15.75" thickBot="1">
      <c r="A756" s="876"/>
      <c r="B756" s="899"/>
      <c r="C756" s="899"/>
      <c r="D756" s="899"/>
      <c r="E756" s="899"/>
      <c r="F756" s="900"/>
      <c r="G756" s="897"/>
      <c r="H756" s="901"/>
      <c r="I756" s="900"/>
      <c r="J756" s="900"/>
      <c r="K756" s="900"/>
      <c r="L756" s="902"/>
      <c r="M756" s="902"/>
      <c r="N756" s="900"/>
      <c r="O756" s="876"/>
      <c r="P756" s="876"/>
      <c r="Q756" s="876"/>
    </row>
    <row r="757" spans="1:19" s="373" customFormat="1" ht="15.75" thickBot="1">
      <c r="A757" s="882"/>
      <c r="B757" s="639"/>
      <c r="C757" s="639"/>
      <c r="D757" s="639"/>
      <c r="E757" s="639"/>
      <c r="F757" s="846"/>
      <c r="G757" s="577" t="s">
        <v>1902</v>
      </c>
      <c r="H757" s="872"/>
      <c r="I757" s="873"/>
      <c r="J757" s="641"/>
      <c r="K757" s="638"/>
      <c r="L757" s="845"/>
      <c r="M757" s="845"/>
      <c r="N757" s="638"/>
      <c r="O757" s="641"/>
      <c r="P757" s="641"/>
      <c r="Q757" s="883"/>
    </row>
    <row r="758" spans="1:19" s="373" customFormat="1" ht="15.75" thickBot="1">
      <c r="A758" s="884"/>
      <c r="B758" s="355"/>
      <c r="C758" s="355"/>
      <c r="D758" s="355"/>
      <c r="E758" s="355"/>
      <c r="F758" s="356"/>
      <c r="G758" s="576"/>
      <c r="H758" s="371"/>
      <c r="I758" s="371"/>
      <c r="J758" s="371"/>
      <c r="K758" s="371"/>
      <c r="L758" s="372"/>
      <c r="M758" s="372"/>
      <c r="N758" s="371"/>
      <c r="O758" s="406"/>
      <c r="P758" s="406"/>
      <c r="Q758" s="862"/>
    </row>
    <row r="759" spans="1:19" s="373" customFormat="1" ht="60">
      <c r="A759" s="1562" t="s">
        <v>1452</v>
      </c>
      <c r="B759" s="1538" t="s">
        <v>676</v>
      </c>
      <c r="C759" s="1564" t="s">
        <v>610</v>
      </c>
      <c r="D759" s="1538" t="s">
        <v>611</v>
      </c>
      <c r="E759" s="1538" t="s">
        <v>1453</v>
      </c>
      <c r="F759" s="1472" t="s">
        <v>159</v>
      </c>
      <c r="G759" s="1509" t="s">
        <v>110</v>
      </c>
      <c r="H759" s="1477" t="s">
        <v>316</v>
      </c>
      <c r="I759" s="1472" t="s">
        <v>315</v>
      </c>
      <c r="J759" s="1472" t="s">
        <v>317</v>
      </c>
      <c r="K759" s="1472" t="s">
        <v>318</v>
      </c>
      <c r="L759" s="569" t="s">
        <v>1443</v>
      </c>
      <c r="M759" s="569" t="s">
        <v>1444</v>
      </c>
      <c r="N759" s="752" t="s">
        <v>1445</v>
      </c>
      <c r="O759" s="1477" t="s">
        <v>1673</v>
      </c>
      <c r="P759" s="1477" t="s">
        <v>1307</v>
      </c>
      <c r="Q759" s="1495" t="s">
        <v>1454</v>
      </c>
    </row>
    <row r="760" spans="1:19" s="373" customFormat="1" ht="15.75" thickBot="1">
      <c r="A760" s="1563"/>
      <c r="B760" s="1539"/>
      <c r="C760" s="1565"/>
      <c r="D760" s="1539"/>
      <c r="E760" s="1539"/>
      <c r="F760" s="1473"/>
      <c r="G760" s="1510"/>
      <c r="H760" s="1478"/>
      <c r="I760" s="1473"/>
      <c r="J760" s="1473"/>
      <c r="K760" s="1473"/>
      <c r="L760" s="570" t="s">
        <v>805</v>
      </c>
      <c r="M760" s="570" t="s">
        <v>805</v>
      </c>
      <c r="N760" s="753" t="s">
        <v>1149</v>
      </c>
      <c r="O760" s="1478"/>
      <c r="P760" s="1478"/>
      <c r="Q760" s="1496"/>
    </row>
    <row r="761" spans="1:19" s="373" customFormat="1" ht="30">
      <c r="A761" s="1630" t="s">
        <v>1484</v>
      </c>
      <c r="B761" s="1599" t="s">
        <v>1485</v>
      </c>
      <c r="C761" s="1227" t="s">
        <v>663</v>
      </c>
      <c r="D761" s="1219">
        <v>2817</v>
      </c>
      <c r="E761" s="758" t="s">
        <v>1451</v>
      </c>
      <c r="F761" s="757" t="s">
        <v>322</v>
      </c>
      <c r="G761" s="423" t="s">
        <v>361</v>
      </c>
      <c r="H761" s="414" t="s">
        <v>160</v>
      </c>
      <c r="I761" s="756">
        <v>5600</v>
      </c>
      <c r="J761" s="756">
        <f>'preturi unitare'!H22</f>
        <v>64</v>
      </c>
      <c r="K761" s="756">
        <f>I761*J761</f>
        <v>358400</v>
      </c>
      <c r="L761" s="411">
        <f>K761</f>
        <v>358400</v>
      </c>
      <c r="M761" s="411">
        <v>0</v>
      </c>
      <c r="N761" s="424">
        <v>0</v>
      </c>
      <c r="O761" s="772">
        <f>L761</f>
        <v>358400</v>
      </c>
      <c r="P761" s="772">
        <f>O761/D761</f>
        <v>127.22754703585375</v>
      </c>
      <c r="Q761" s="1497" t="s">
        <v>1632</v>
      </c>
    </row>
    <row r="762" spans="1:19" s="373" customFormat="1" ht="46.5" customHeight="1">
      <c r="A762" s="1632"/>
      <c r="B762" s="1701"/>
      <c r="C762" s="1222" t="s">
        <v>664</v>
      </c>
      <c r="D762" s="1220">
        <v>854</v>
      </c>
      <c r="E762" s="760" t="s">
        <v>1451</v>
      </c>
      <c r="F762" s="762" t="s">
        <v>322</v>
      </c>
      <c r="G762" s="329" t="s">
        <v>362</v>
      </c>
      <c r="H762" s="807" t="s">
        <v>160</v>
      </c>
      <c r="I762" s="776">
        <v>4600</v>
      </c>
      <c r="J762" s="776">
        <f>J761</f>
        <v>64</v>
      </c>
      <c r="K762" s="776">
        <f>I762*J762</f>
        <v>294400</v>
      </c>
      <c r="L762" s="334">
        <f>K762</f>
        <v>294400</v>
      </c>
      <c r="M762" s="334">
        <v>0</v>
      </c>
      <c r="N762" s="377">
        <v>0</v>
      </c>
      <c r="O762" s="777">
        <f>L762</f>
        <v>294400</v>
      </c>
      <c r="P762" s="777">
        <f>O762/D762</f>
        <v>344.73067915690865</v>
      </c>
      <c r="Q762" s="1499"/>
    </row>
    <row r="763" spans="1:19" s="373" customFormat="1">
      <c r="A763" s="885"/>
      <c r="B763" s="326"/>
      <c r="C763" s="326"/>
      <c r="D763" s="326"/>
      <c r="E763" s="326"/>
      <c r="F763" s="326"/>
      <c r="G763" s="326"/>
      <c r="H763" s="326"/>
      <c r="I763" s="776"/>
      <c r="J763" s="776"/>
      <c r="K763" s="776"/>
      <c r="L763" s="334"/>
      <c r="M763" s="334"/>
      <c r="N763" s="326"/>
      <c r="O763" s="405"/>
      <c r="P763" s="405"/>
      <c r="Q763" s="584"/>
    </row>
    <row r="764" spans="1:19" s="373" customFormat="1">
      <c r="A764" s="1469" t="s">
        <v>606</v>
      </c>
      <c r="B764" s="1470"/>
      <c r="C764" s="1470"/>
      <c r="D764" s="1470"/>
      <c r="E764" s="1470"/>
      <c r="F764" s="1470"/>
      <c r="G764" s="1471"/>
      <c r="H764" s="793"/>
      <c r="I764" s="776"/>
      <c r="J764" s="776"/>
      <c r="K764" s="364">
        <f>SUM(K761:K762)</f>
        <v>652800</v>
      </c>
      <c r="L764" s="365">
        <f>SUM(L761:L762)</f>
        <v>652800</v>
      </c>
      <c r="M764" s="365">
        <f>SUM(M761:M762)</f>
        <v>0</v>
      </c>
      <c r="N764" s="364">
        <f>SUM(N761:N762)</f>
        <v>0</v>
      </c>
      <c r="O764" s="415"/>
      <c r="P764" s="387"/>
      <c r="Q764" s="584"/>
      <c r="S764" s="374"/>
    </row>
    <row r="765" spans="1:19" s="373" customFormat="1" ht="15.75" thickBot="1">
      <c r="A765" s="884"/>
      <c r="B765" s="397"/>
      <c r="C765" s="397"/>
      <c r="D765" s="397"/>
      <c r="E765" s="397"/>
      <c r="F765" s="766"/>
      <c r="G765" s="417"/>
      <c r="H765" s="732"/>
      <c r="I765" s="732"/>
      <c r="J765" s="732"/>
      <c r="K765" s="732"/>
      <c r="L765" s="426"/>
      <c r="M765" s="426"/>
      <c r="N765" s="418"/>
      <c r="O765" s="406"/>
      <c r="P765" s="406"/>
      <c r="Q765" s="862"/>
    </row>
    <row r="766" spans="1:19" s="373" customFormat="1" ht="60">
      <c r="A766" s="1562" t="s">
        <v>1452</v>
      </c>
      <c r="B766" s="1544" t="s">
        <v>617</v>
      </c>
      <c r="C766" s="1538" t="s">
        <v>610</v>
      </c>
      <c r="D766" s="1538" t="s">
        <v>611</v>
      </c>
      <c r="E766" s="1538" t="s">
        <v>1453</v>
      </c>
      <c r="F766" s="1472" t="s">
        <v>159</v>
      </c>
      <c r="G766" s="1509" t="s">
        <v>110</v>
      </c>
      <c r="H766" s="1477" t="s">
        <v>316</v>
      </c>
      <c r="I766" s="1472" t="s">
        <v>315</v>
      </c>
      <c r="J766" s="1472" t="s">
        <v>317</v>
      </c>
      <c r="K766" s="1472" t="s">
        <v>318</v>
      </c>
      <c r="L766" s="569" t="s">
        <v>1443</v>
      </c>
      <c r="M766" s="569" t="s">
        <v>1444</v>
      </c>
      <c r="N766" s="752" t="s">
        <v>1445</v>
      </c>
      <c r="O766" s="1477" t="s">
        <v>1673</v>
      </c>
      <c r="P766" s="1477" t="s">
        <v>1307</v>
      </c>
      <c r="Q766" s="1495" t="s">
        <v>1454</v>
      </c>
    </row>
    <row r="767" spans="1:19" s="373" customFormat="1" ht="15.75" thickBot="1">
      <c r="A767" s="1563"/>
      <c r="B767" s="1545"/>
      <c r="C767" s="1539"/>
      <c r="D767" s="1539"/>
      <c r="E767" s="1539"/>
      <c r="F767" s="1473"/>
      <c r="G767" s="1510"/>
      <c r="H767" s="1478"/>
      <c r="I767" s="1473"/>
      <c r="J767" s="1473"/>
      <c r="K767" s="1473"/>
      <c r="L767" s="570" t="s">
        <v>805</v>
      </c>
      <c r="M767" s="570" t="s">
        <v>805</v>
      </c>
      <c r="N767" s="753" t="s">
        <v>1149</v>
      </c>
      <c r="O767" s="1478"/>
      <c r="P767" s="1478"/>
      <c r="Q767" s="1496"/>
    </row>
    <row r="768" spans="1:19" s="373" customFormat="1" ht="30">
      <c r="A768" s="1630" t="s">
        <v>1484</v>
      </c>
      <c r="B768" s="1599" t="s">
        <v>653</v>
      </c>
      <c r="C768" s="1611" t="s">
        <v>2027</v>
      </c>
      <c r="D768" s="1681">
        <f>D761+D762</f>
        <v>3671</v>
      </c>
      <c r="E768" s="1681">
        <f>D768</f>
        <v>3671</v>
      </c>
      <c r="F768" s="757" t="s">
        <v>325</v>
      </c>
      <c r="G768" s="423" t="s">
        <v>363</v>
      </c>
      <c r="H768" s="414" t="s">
        <v>160</v>
      </c>
      <c r="I768" s="756">
        <v>15500</v>
      </c>
      <c r="J768" s="756">
        <f>'preturi unitare'!H40</f>
        <v>154</v>
      </c>
      <c r="K768" s="756">
        <f>I768*J768</f>
        <v>2387000</v>
      </c>
      <c r="L768" s="411">
        <f>K768</f>
        <v>2387000</v>
      </c>
      <c r="M768" s="411">
        <v>0</v>
      </c>
      <c r="N768" s="925">
        <v>0</v>
      </c>
      <c r="O768" s="1463">
        <f>SUM(L768:L769)</f>
        <v>3418800</v>
      </c>
      <c r="P768" s="1463">
        <f>O768/E768</f>
        <v>931.29937346771999</v>
      </c>
      <c r="Q768" s="1497" t="s">
        <v>1633</v>
      </c>
    </row>
    <row r="769" spans="1:17" s="373" customFormat="1" ht="45.75" customHeight="1">
      <c r="A769" s="1632"/>
      <c r="B769" s="1701"/>
      <c r="C769" s="1612"/>
      <c r="D769" s="1598"/>
      <c r="E769" s="1598"/>
      <c r="F769" s="762" t="s">
        <v>325</v>
      </c>
      <c r="G769" s="329" t="s">
        <v>364</v>
      </c>
      <c r="H769" s="807" t="s">
        <v>160</v>
      </c>
      <c r="I769" s="776">
        <v>6700</v>
      </c>
      <c r="J769" s="776">
        <f>J768</f>
        <v>154</v>
      </c>
      <c r="K769" s="776">
        <f>I769*J769</f>
        <v>1031800</v>
      </c>
      <c r="L769" s="334">
        <f>K769</f>
        <v>1031800</v>
      </c>
      <c r="M769" s="334">
        <v>0</v>
      </c>
      <c r="N769" s="383">
        <v>0</v>
      </c>
      <c r="O769" s="1465"/>
      <c r="P769" s="1465"/>
      <c r="Q769" s="1499"/>
    </row>
    <row r="770" spans="1:17" s="373" customFormat="1">
      <c r="A770" s="885"/>
      <c r="B770" s="761"/>
      <c r="C770" s="761"/>
      <c r="D770" s="761"/>
      <c r="E770" s="761"/>
      <c r="F770" s="762"/>
      <c r="G770" s="384"/>
      <c r="H770" s="807"/>
      <c r="I770" s="807"/>
      <c r="J770" s="807"/>
      <c r="K770" s="807"/>
      <c r="L770" s="334"/>
      <c r="M770" s="334"/>
      <c r="N770" s="379"/>
      <c r="O770" s="405"/>
      <c r="P770" s="405"/>
      <c r="Q770" s="584"/>
    </row>
    <row r="771" spans="1:17" s="373" customFormat="1">
      <c r="A771" s="1532" t="s">
        <v>365</v>
      </c>
      <c r="B771" s="1533"/>
      <c r="C771" s="1533"/>
      <c r="D771" s="1533"/>
      <c r="E771" s="1533"/>
      <c r="F771" s="1533"/>
      <c r="G771" s="1534"/>
      <c r="H771" s="364"/>
      <c r="I771" s="364"/>
      <c r="J771" s="364"/>
      <c r="K771" s="364">
        <f>SUM(K768:K769)</f>
        <v>3418800</v>
      </c>
      <c r="L771" s="365">
        <f>SUM(L768:L769)</f>
        <v>3418800</v>
      </c>
      <c r="M771" s="365">
        <f>SUM(M768:M769)</f>
        <v>0</v>
      </c>
      <c r="N771" s="364">
        <f>SUM(N768:N769)</f>
        <v>0</v>
      </c>
      <c r="O771" s="415"/>
      <c r="P771" s="387"/>
      <c r="Q771" s="584"/>
    </row>
    <row r="772" spans="1:17" s="373" customFormat="1">
      <c r="A772" s="885"/>
      <c r="B772" s="782"/>
      <c r="C772" s="782"/>
      <c r="D772" s="782"/>
      <c r="E772" s="782"/>
      <c r="F772" s="762"/>
      <c r="G772" s="328"/>
      <c r="H772" s="776"/>
      <c r="I772" s="776"/>
      <c r="J772" s="776"/>
      <c r="K772" s="776"/>
      <c r="L772" s="334"/>
      <c r="M772" s="334"/>
      <c r="N772" s="776"/>
      <c r="O772" s="387"/>
      <c r="P772" s="387"/>
      <c r="Q772" s="584"/>
    </row>
    <row r="773" spans="1:17" s="373" customFormat="1" ht="15.75" customHeight="1" thickBot="1">
      <c r="A773" s="1474" t="s">
        <v>366</v>
      </c>
      <c r="B773" s="1475"/>
      <c r="C773" s="1475"/>
      <c r="D773" s="1475"/>
      <c r="E773" s="1475"/>
      <c r="F773" s="1475"/>
      <c r="G773" s="1476"/>
      <c r="H773" s="581"/>
      <c r="I773" s="581"/>
      <c r="J773" s="581"/>
      <c r="K773" s="582">
        <f>K764+K771</f>
        <v>4071600</v>
      </c>
      <c r="L773" s="583">
        <f>L764+L771</f>
        <v>4071600</v>
      </c>
      <c r="M773" s="583">
        <f>M764+M771</f>
        <v>0</v>
      </c>
      <c r="N773" s="582">
        <f>N764+N771</f>
        <v>0</v>
      </c>
      <c r="O773" s="924"/>
      <c r="P773" s="580"/>
      <c r="Q773" s="886"/>
    </row>
    <row r="774" spans="1:17" s="373" customFormat="1" ht="15.75" thickBot="1">
      <c r="A774" s="876"/>
      <c r="B774" s="899"/>
      <c r="C774" s="899"/>
      <c r="D774" s="899"/>
      <c r="E774" s="899"/>
      <c r="F774" s="900"/>
      <c r="G774" s="897"/>
      <c r="H774" s="901"/>
      <c r="I774" s="900"/>
      <c r="J774" s="900"/>
      <c r="K774" s="900"/>
      <c r="L774" s="902"/>
      <c r="M774" s="902"/>
      <c r="N774" s="900"/>
      <c r="O774" s="876"/>
      <c r="P774" s="876"/>
      <c r="Q774" s="876"/>
    </row>
    <row r="775" spans="1:17" s="373" customFormat="1" ht="15.75" thickBot="1">
      <c r="A775" s="882"/>
      <c r="B775" s="639"/>
      <c r="C775" s="639"/>
      <c r="D775" s="639"/>
      <c r="E775" s="639"/>
      <c r="F775" s="846"/>
      <c r="G775" s="577" t="s">
        <v>1903</v>
      </c>
      <c r="H775" s="872"/>
      <c r="I775" s="873"/>
      <c r="J775" s="641"/>
      <c r="K775" s="638"/>
      <c r="L775" s="845"/>
      <c r="M775" s="845"/>
      <c r="N775" s="638"/>
      <c r="O775" s="641"/>
      <c r="P775" s="641"/>
      <c r="Q775" s="883"/>
    </row>
    <row r="776" spans="1:17" s="373" customFormat="1" ht="15.75" thickBot="1">
      <c r="A776" s="884"/>
      <c r="B776" s="355"/>
      <c r="C776" s="355"/>
      <c r="D776" s="355"/>
      <c r="E776" s="355"/>
      <c r="F776" s="356"/>
      <c r="G776" s="576"/>
      <c r="H776" s="371"/>
      <c r="I776" s="371"/>
      <c r="J776" s="371"/>
      <c r="K776" s="371"/>
      <c r="L776" s="372"/>
      <c r="M776" s="372"/>
      <c r="N776" s="371"/>
      <c r="O776" s="406"/>
      <c r="P776" s="406"/>
      <c r="Q776" s="862"/>
    </row>
    <row r="777" spans="1:17" s="373" customFormat="1" ht="60">
      <c r="A777" s="1562" t="s">
        <v>1452</v>
      </c>
      <c r="B777" s="1538" t="s">
        <v>676</v>
      </c>
      <c r="C777" s="1564" t="s">
        <v>610</v>
      </c>
      <c r="D777" s="1538" t="s">
        <v>611</v>
      </c>
      <c r="E777" s="1538" t="s">
        <v>1453</v>
      </c>
      <c r="F777" s="1472" t="s">
        <v>159</v>
      </c>
      <c r="G777" s="1509" t="s">
        <v>110</v>
      </c>
      <c r="H777" s="1477" t="s">
        <v>316</v>
      </c>
      <c r="I777" s="1472" t="s">
        <v>315</v>
      </c>
      <c r="J777" s="1472" t="s">
        <v>317</v>
      </c>
      <c r="K777" s="1472" t="s">
        <v>318</v>
      </c>
      <c r="L777" s="569" t="s">
        <v>1443</v>
      </c>
      <c r="M777" s="569" t="s">
        <v>1444</v>
      </c>
      <c r="N777" s="752" t="s">
        <v>1445</v>
      </c>
      <c r="O777" s="1477" t="s">
        <v>1673</v>
      </c>
      <c r="P777" s="1477" t="s">
        <v>1307</v>
      </c>
      <c r="Q777" s="1495" t="s">
        <v>1454</v>
      </c>
    </row>
    <row r="778" spans="1:17" s="373" customFormat="1" ht="15.75" thickBot="1">
      <c r="A778" s="1563"/>
      <c r="B778" s="1539"/>
      <c r="C778" s="1565"/>
      <c r="D778" s="1539"/>
      <c r="E778" s="1539"/>
      <c r="F778" s="1473"/>
      <c r="G778" s="1510"/>
      <c r="H778" s="1478"/>
      <c r="I778" s="1473"/>
      <c r="J778" s="1473"/>
      <c r="K778" s="1473"/>
      <c r="L778" s="570" t="s">
        <v>805</v>
      </c>
      <c r="M778" s="570" t="s">
        <v>805</v>
      </c>
      <c r="N778" s="753" t="s">
        <v>1149</v>
      </c>
      <c r="O778" s="1478"/>
      <c r="P778" s="1478"/>
      <c r="Q778" s="1496"/>
    </row>
    <row r="779" spans="1:17" s="373" customFormat="1" ht="63" customHeight="1">
      <c r="A779" s="1729" t="s">
        <v>665</v>
      </c>
      <c r="B779" s="765" t="s">
        <v>653</v>
      </c>
      <c r="C779" s="1014" t="s">
        <v>665</v>
      </c>
      <c r="D779" s="769" t="s">
        <v>666</v>
      </c>
      <c r="E779" s="758" t="s">
        <v>1451</v>
      </c>
      <c r="F779" s="757" t="s">
        <v>322</v>
      </c>
      <c r="G779" s="1005" t="s">
        <v>1486</v>
      </c>
      <c r="H779" s="926" t="s">
        <v>160</v>
      </c>
      <c r="I779" s="756">
        <v>5300</v>
      </c>
      <c r="J779" s="756">
        <f>'preturi unitare'!H22</f>
        <v>64</v>
      </c>
      <c r="K779" s="756">
        <f>I779*J779</f>
        <v>339200</v>
      </c>
      <c r="L779" s="411">
        <f>K779</f>
        <v>339200</v>
      </c>
      <c r="M779" s="411">
        <v>0</v>
      </c>
      <c r="N779" s="430">
        <v>0</v>
      </c>
      <c r="O779" s="772">
        <f>L779</f>
        <v>339200</v>
      </c>
      <c r="P779" s="772">
        <f>O779/D779</f>
        <v>362.00640341515475</v>
      </c>
      <c r="Q779" s="1006" t="s">
        <v>1634</v>
      </c>
    </row>
    <row r="780" spans="1:17" s="373" customFormat="1" ht="30">
      <c r="A780" s="1730"/>
      <c r="B780" s="1567" t="s">
        <v>1487</v>
      </c>
      <c r="C780" s="1625" t="s">
        <v>667</v>
      </c>
      <c r="D780" s="1577">
        <v>204</v>
      </c>
      <c r="E780" s="1606" t="s">
        <v>1451</v>
      </c>
      <c r="F780" s="775" t="s">
        <v>140</v>
      </c>
      <c r="G780" s="400" t="s">
        <v>892</v>
      </c>
      <c r="H780" s="780" t="s">
        <v>280</v>
      </c>
      <c r="I780" s="776">
        <v>1</v>
      </c>
      <c r="J780" s="776">
        <f>'preturi unitare'!O4</f>
        <v>125000</v>
      </c>
      <c r="K780" s="776">
        <f>I780*J780</f>
        <v>125000</v>
      </c>
      <c r="L780" s="334">
        <f>K780</f>
        <v>125000</v>
      </c>
      <c r="M780" s="334">
        <v>0</v>
      </c>
      <c r="N780" s="776">
        <v>0</v>
      </c>
      <c r="O780" s="1483">
        <f>SUM(L780:L783)</f>
        <v>203700</v>
      </c>
      <c r="P780" s="1483">
        <f>O780/D780</f>
        <v>998.52941176470586</v>
      </c>
      <c r="Q780" s="1500" t="s">
        <v>1634</v>
      </c>
    </row>
    <row r="781" spans="1:17" s="373" customFormat="1" ht="30">
      <c r="A781" s="1730"/>
      <c r="B781" s="1701"/>
      <c r="C781" s="1626"/>
      <c r="D781" s="1577"/>
      <c r="E781" s="1627"/>
      <c r="F781" s="775" t="s">
        <v>643</v>
      </c>
      <c r="G781" s="400" t="s">
        <v>893</v>
      </c>
      <c r="H781" s="780" t="s">
        <v>160</v>
      </c>
      <c r="I781" s="776">
        <v>400</v>
      </c>
      <c r="J781" s="776">
        <f>'preturi unitare'!H23</f>
        <v>68</v>
      </c>
      <c r="K781" s="776">
        <f>J781*I781</f>
        <v>27200</v>
      </c>
      <c r="L781" s="334">
        <f>K781</f>
        <v>27200</v>
      </c>
      <c r="M781" s="334">
        <v>0</v>
      </c>
      <c r="N781" s="776">
        <v>0</v>
      </c>
      <c r="O781" s="1483"/>
      <c r="P781" s="1483"/>
      <c r="Q781" s="1498"/>
    </row>
    <row r="782" spans="1:17" s="373" customFormat="1" ht="30">
      <c r="A782" s="1730"/>
      <c r="B782" s="1701"/>
      <c r="C782" s="1626"/>
      <c r="D782" s="1577"/>
      <c r="E782" s="1627"/>
      <c r="F782" s="762" t="s">
        <v>322</v>
      </c>
      <c r="G782" s="403" t="s">
        <v>894</v>
      </c>
      <c r="H782" s="395" t="s">
        <v>160</v>
      </c>
      <c r="I782" s="776">
        <v>3700</v>
      </c>
      <c r="J782" s="776">
        <f>'preturi unitare'!H22</f>
        <v>64</v>
      </c>
      <c r="K782" s="776">
        <f>I782*J782</f>
        <v>236800</v>
      </c>
      <c r="L782" s="334">
        <v>0</v>
      </c>
      <c r="M782" s="334">
        <f>K782</f>
        <v>236800</v>
      </c>
      <c r="N782" s="385">
        <v>0</v>
      </c>
      <c r="O782" s="1483"/>
      <c r="P782" s="1483"/>
      <c r="Q782" s="1498"/>
    </row>
    <row r="783" spans="1:17" s="373" customFormat="1" ht="47.25">
      <c r="A783" s="1730"/>
      <c r="B783" s="1701"/>
      <c r="C783" s="1599"/>
      <c r="D783" s="1577"/>
      <c r="E783" s="1598"/>
      <c r="F783" s="775" t="s">
        <v>279</v>
      </c>
      <c r="G783" s="400" t="s">
        <v>895</v>
      </c>
      <c r="H783" s="780" t="s">
        <v>280</v>
      </c>
      <c r="I783" s="776">
        <v>1</v>
      </c>
      <c r="J783" s="776">
        <f>J955</f>
        <v>51500</v>
      </c>
      <c r="K783" s="776">
        <f>I783*J783</f>
        <v>51500</v>
      </c>
      <c r="L783" s="334">
        <f>J783</f>
        <v>51500</v>
      </c>
      <c r="M783" s="334">
        <v>0</v>
      </c>
      <c r="N783" s="385">
        <v>0</v>
      </c>
      <c r="O783" s="1483"/>
      <c r="P783" s="1483"/>
      <c r="Q783" s="1499"/>
    </row>
    <row r="784" spans="1:17" s="373" customFormat="1" ht="30" customHeight="1">
      <c r="A784" s="1730"/>
      <c r="B784" s="1567" t="s">
        <v>1487</v>
      </c>
      <c r="C784" s="1488" t="s">
        <v>668</v>
      </c>
      <c r="D784" s="1577">
        <v>220</v>
      </c>
      <c r="E784" s="1606" t="s">
        <v>1451</v>
      </c>
      <c r="F784" s="775" t="s">
        <v>140</v>
      </c>
      <c r="G784" s="400" t="s">
        <v>896</v>
      </c>
      <c r="H784" s="780" t="s">
        <v>280</v>
      </c>
      <c r="I784" s="776">
        <v>1</v>
      </c>
      <c r="J784" s="776">
        <f>J780</f>
        <v>125000</v>
      </c>
      <c r="K784" s="776">
        <f>I784*J784</f>
        <v>125000</v>
      </c>
      <c r="L784" s="334">
        <f>K784</f>
        <v>125000</v>
      </c>
      <c r="M784" s="334">
        <v>0</v>
      </c>
      <c r="N784" s="776">
        <v>0</v>
      </c>
      <c r="O784" s="1483">
        <f>SUM(L784:L787)</f>
        <v>210500</v>
      </c>
      <c r="P784" s="1483">
        <f>O784/D784</f>
        <v>956.81818181818187</v>
      </c>
      <c r="Q784" s="1500" t="s">
        <v>1634</v>
      </c>
    </row>
    <row r="785" spans="1:19" s="373" customFormat="1" ht="30">
      <c r="A785" s="1730"/>
      <c r="B785" s="1701"/>
      <c r="C785" s="1488"/>
      <c r="D785" s="1577"/>
      <c r="E785" s="1627"/>
      <c r="F785" s="775" t="s">
        <v>643</v>
      </c>
      <c r="G785" s="400" t="s">
        <v>897</v>
      </c>
      <c r="H785" s="395" t="s">
        <v>160</v>
      </c>
      <c r="I785" s="776">
        <v>500</v>
      </c>
      <c r="J785" s="776">
        <f>J781</f>
        <v>68</v>
      </c>
      <c r="K785" s="776">
        <f>J785*I785</f>
        <v>34000</v>
      </c>
      <c r="L785" s="334">
        <f>K785</f>
        <v>34000</v>
      </c>
      <c r="M785" s="334">
        <v>0</v>
      </c>
      <c r="N785" s="776">
        <v>0</v>
      </c>
      <c r="O785" s="1483"/>
      <c r="P785" s="1483"/>
      <c r="Q785" s="1498"/>
    </row>
    <row r="786" spans="1:19" s="373" customFormat="1" ht="30">
      <c r="A786" s="1730"/>
      <c r="B786" s="1701"/>
      <c r="C786" s="1488"/>
      <c r="D786" s="1577"/>
      <c r="E786" s="1627"/>
      <c r="F786" s="762" t="s">
        <v>322</v>
      </c>
      <c r="G786" s="403" t="s">
        <v>898</v>
      </c>
      <c r="H786" s="395" t="s">
        <v>160</v>
      </c>
      <c r="I786" s="776">
        <v>2500</v>
      </c>
      <c r="J786" s="776">
        <f>'preturi unitare'!H22</f>
        <v>64</v>
      </c>
      <c r="K786" s="776">
        <f>I786*J786</f>
        <v>160000</v>
      </c>
      <c r="L786" s="334">
        <v>0</v>
      </c>
      <c r="M786" s="334">
        <f>K786</f>
        <v>160000</v>
      </c>
      <c r="N786" s="385">
        <v>0</v>
      </c>
      <c r="O786" s="1483"/>
      <c r="P786" s="1483"/>
      <c r="Q786" s="1498"/>
    </row>
    <row r="787" spans="1:19" s="373" customFormat="1" ht="30">
      <c r="A787" s="1731"/>
      <c r="B787" s="1701"/>
      <c r="C787" s="1488"/>
      <c r="D787" s="1577"/>
      <c r="E787" s="1598"/>
      <c r="F787" s="775" t="s">
        <v>279</v>
      </c>
      <c r="G787" s="400" t="s">
        <v>899</v>
      </c>
      <c r="H787" s="780" t="s">
        <v>280</v>
      </c>
      <c r="I787" s="776">
        <v>1</v>
      </c>
      <c r="J787" s="776">
        <f>J783</f>
        <v>51500</v>
      </c>
      <c r="K787" s="776">
        <f>I787*J787</f>
        <v>51500</v>
      </c>
      <c r="L787" s="334">
        <f>K787</f>
        <v>51500</v>
      </c>
      <c r="M787" s="334">
        <v>0</v>
      </c>
      <c r="N787" s="385">
        <v>0</v>
      </c>
      <c r="O787" s="1483"/>
      <c r="P787" s="1483"/>
      <c r="Q787" s="1499"/>
    </row>
    <row r="788" spans="1:19" s="373" customFormat="1">
      <c r="A788" s="885"/>
      <c r="B788" s="326"/>
      <c r="C788" s="326"/>
      <c r="D788" s="326"/>
      <c r="E788" s="326"/>
      <c r="F788" s="326"/>
      <c r="G788" s="404"/>
      <c r="H788" s="404"/>
      <c r="I788" s="776"/>
      <c r="J788" s="776"/>
      <c r="K788" s="776"/>
      <c r="L788" s="334"/>
      <c r="M788" s="334"/>
      <c r="N788" s="385"/>
      <c r="O788" s="415"/>
      <c r="P788" s="415"/>
      <c r="Q788" s="584"/>
    </row>
    <row r="789" spans="1:19" s="373" customFormat="1">
      <c r="A789" s="1469" t="s">
        <v>1387</v>
      </c>
      <c r="B789" s="1470"/>
      <c r="C789" s="1470"/>
      <c r="D789" s="1470"/>
      <c r="E789" s="1470"/>
      <c r="F789" s="1470"/>
      <c r="G789" s="1471"/>
      <c r="H789" s="808"/>
      <c r="I789" s="776"/>
      <c r="J789" s="776"/>
      <c r="K789" s="364">
        <f>SUM(K779:K787)</f>
        <v>1150200</v>
      </c>
      <c r="L789" s="365">
        <f>SUM(L779:L787)</f>
        <v>753400</v>
      </c>
      <c r="M789" s="365">
        <f>SUM(M779:M787)</f>
        <v>396800</v>
      </c>
      <c r="N789" s="364">
        <f>SUM(N779:N787)</f>
        <v>0</v>
      </c>
      <c r="O789" s="415"/>
      <c r="P789" s="415"/>
      <c r="Q789" s="584"/>
      <c r="S789" s="374"/>
    </row>
    <row r="790" spans="1:19" s="373" customFormat="1" ht="15.75" thickBot="1">
      <c r="A790" s="884"/>
      <c r="B790" s="397"/>
      <c r="C790" s="397"/>
      <c r="D790" s="397"/>
      <c r="E790" s="397"/>
      <c r="F790" s="766"/>
      <c r="G790" s="417"/>
      <c r="H790" s="732"/>
      <c r="I790" s="732"/>
      <c r="J790" s="732"/>
      <c r="K790" s="732"/>
      <c r="L790" s="426"/>
      <c r="M790" s="426"/>
      <c r="N790" s="418"/>
      <c r="O790" s="406"/>
      <c r="P790" s="406"/>
      <c r="Q790" s="862"/>
    </row>
    <row r="791" spans="1:19" s="373" customFormat="1" ht="60">
      <c r="A791" s="1542" t="s">
        <v>1452</v>
      </c>
      <c r="B791" s="1544" t="s">
        <v>617</v>
      </c>
      <c r="C791" s="1538" t="s">
        <v>610</v>
      </c>
      <c r="D791" s="1538" t="s">
        <v>611</v>
      </c>
      <c r="E791" s="1538" t="s">
        <v>1453</v>
      </c>
      <c r="F791" s="1472" t="s">
        <v>159</v>
      </c>
      <c r="G791" s="1509" t="s">
        <v>110</v>
      </c>
      <c r="H791" s="1477" t="s">
        <v>316</v>
      </c>
      <c r="I791" s="1472" t="s">
        <v>315</v>
      </c>
      <c r="J791" s="1472" t="s">
        <v>317</v>
      </c>
      <c r="K791" s="1472" t="s">
        <v>318</v>
      </c>
      <c r="L791" s="569" t="s">
        <v>1443</v>
      </c>
      <c r="M791" s="569" t="s">
        <v>1444</v>
      </c>
      <c r="N791" s="752" t="s">
        <v>1445</v>
      </c>
      <c r="O791" s="1477" t="s">
        <v>1673</v>
      </c>
      <c r="P791" s="1477" t="s">
        <v>1307</v>
      </c>
      <c r="Q791" s="1495" t="s">
        <v>1454</v>
      </c>
    </row>
    <row r="792" spans="1:19" s="373" customFormat="1" ht="15.75" thickBot="1">
      <c r="A792" s="1543"/>
      <c r="B792" s="1545"/>
      <c r="C792" s="1539"/>
      <c r="D792" s="1539"/>
      <c r="E792" s="1539"/>
      <c r="F792" s="1473"/>
      <c r="G792" s="1510"/>
      <c r="H792" s="1478"/>
      <c r="I792" s="1473"/>
      <c r="J792" s="1473"/>
      <c r="K792" s="1473"/>
      <c r="L792" s="570" t="s">
        <v>805</v>
      </c>
      <c r="M792" s="570" t="s">
        <v>805</v>
      </c>
      <c r="N792" s="753" t="s">
        <v>1149</v>
      </c>
      <c r="O792" s="1478"/>
      <c r="P792" s="1478"/>
      <c r="Q792" s="1496"/>
    </row>
    <row r="793" spans="1:19" s="373" customFormat="1" ht="30">
      <c r="A793" s="1635" t="s">
        <v>665</v>
      </c>
      <c r="B793" s="1599" t="s">
        <v>1451</v>
      </c>
      <c r="C793" s="1611" t="s">
        <v>665</v>
      </c>
      <c r="D793" s="1598" t="str">
        <f>D779</f>
        <v>937</v>
      </c>
      <c r="E793" s="1627" t="str">
        <f>D793</f>
        <v>937</v>
      </c>
      <c r="F793" s="1161" t="s">
        <v>323</v>
      </c>
      <c r="G793" s="423" t="s">
        <v>1962</v>
      </c>
      <c r="H793" s="1163" t="s">
        <v>280</v>
      </c>
      <c r="I793" s="756">
        <v>1</v>
      </c>
      <c r="J793" s="756">
        <f>'preturi unitare'!O29</f>
        <v>165500</v>
      </c>
      <c r="K793" s="756">
        <f>I793*J793</f>
        <v>165500</v>
      </c>
      <c r="L793" s="411">
        <v>0</v>
      </c>
      <c r="M793" s="411">
        <f>K793</f>
        <v>165500</v>
      </c>
      <c r="N793" s="756">
        <v>0</v>
      </c>
      <c r="O793" s="1465">
        <f>SUM(M793:M795)</f>
        <v>1425000</v>
      </c>
      <c r="P793" s="1465">
        <f>O793/D793</f>
        <v>1520.8110992529348</v>
      </c>
      <c r="Q793" s="1547" t="s">
        <v>1690</v>
      </c>
    </row>
    <row r="794" spans="1:19" s="373" customFormat="1" ht="30">
      <c r="A794" s="1568"/>
      <c r="B794" s="1701"/>
      <c r="C794" s="1626"/>
      <c r="D794" s="1577"/>
      <c r="E794" s="1627"/>
      <c r="F794" s="1687" t="s">
        <v>325</v>
      </c>
      <c r="G794" s="362" t="s">
        <v>900</v>
      </c>
      <c r="H794" s="807" t="s">
        <v>160</v>
      </c>
      <c r="I794" s="776">
        <v>5500</v>
      </c>
      <c r="J794" s="776">
        <f>'preturi unitare'!H40</f>
        <v>154</v>
      </c>
      <c r="K794" s="776">
        <f>I794*J794</f>
        <v>847000</v>
      </c>
      <c r="L794" s="334">
        <v>0</v>
      </c>
      <c r="M794" s="411">
        <f t="shared" ref="M794:M795" si="69">K794</f>
        <v>847000</v>
      </c>
      <c r="N794" s="1280">
        <v>0</v>
      </c>
      <c r="O794" s="1482"/>
      <c r="P794" s="1482"/>
      <c r="Q794" s="1569"/>
    </row>
    <row r="795" spans="1:19" s="373" customFormat="1" ht="30">
      <c r="A795" s="1568"/>
      <c r="B795" s="1701"/>
      <c r="C795" s="1599"/>
      <c r="D795" s="1577"/>
      <c r="E795" s="1598"/>
      <c r="F795" s="1468"/>
      <c r="G795" s="362" t="s">
        <v>1963</v>
      </c>
      <c r="H795" s="807" t="s">
        <v>160</v>
      </c>
      <c r="I795" s="776">
        <v>2500</v>
      </c>
      <c r="J795" s="776">
        <f>'preturi unitare'!H41</f>
        <v>165</v>
      </c>
      <c r="K795" s="776">
        <f>I795*J795</f>
        <v>412500</v>
      </c>
      <c r="L795" s="334">
        <v>0</v>
      </c>
      <c r="M795" s="411">
        <f t="shared" si="69"/>
        <v>412500</v>
      </c>
      <c r="N795" s="1280">
        <v>0</v>
      </c>
      <c r="O795" s="1482"/>
      <c r="P795" s="1482"/>
      <c r="Q795" s="1569"/>
    </row>
    <row r="796" spans="1:19" s="373" customFormat="1" ht="45">
      <c r="A796" s="1568"/>
      <c r="B796" s="751" t="s">
        <v>1451</v>
      </c>
      <c r="C796" s="761" t="s">
        <v>667</v>
      </c>
      <c r="D796" s="763">
        <f>D780</f>
        <v>204</v>
      </c>
      <c r="E796" s="760">
        <f>D796</f>
        <v>204</v>
      </c>
      <c r="F796" s="762" t="s">
        <v>323</v>
      </c>
      <c r="G796" s="329" t="s">
        <v>597</v>
      </c>
      <c r="H796" s="807" t="s">
        <v>1322</v>
      </c>
      <c r="I796" s="776">
        <v>1</v>
      </c>
      <c r="J796" s="776">
        <f>'preturi unitare'!L4</f>
        <v>70000</v>
      </c>
      <c r="K796" s="776">
        <f>I796*J796</f>
        <v>70000</v>
      </c>
      <c r="L796" s="334">
        <v>0</v>
      </c>
      <c r="M796" s="411">
        <f>K796</f>
        <v>70000</v>
      </c>
      <c r="N796" s="1280">
        <v>0</v>
      </c>
      <c r="O796" s="776">
        <f>K796</f>
        <v>70000</v>
      </c>
      <c r="P796" s="776">
        <f>O796/D796</f>
        <v>343.13725490196077</v>
      </c>
      <c r="Q796" s="981" t="s">
        <v>1517</v>
      </c>
    </row>
    <row r="797" spans="1:19" s="373" customFormat="1" ht="45">
      <c r="A797" s="1568"/>
      <c r="B797" s="751" t="s">
        <v>1451</v>
      </c>
      <c r="C797" s="761" t="s">
        <v>668</v>
      </c>
      <c r="D797" s="763">
        <f>D784</f>
        <v>220</v>
      </c>
      <c r="E797" s="760">
        <f>D797</f>
        <v>220</v>
      </c>
      <c r="F797" s="762" t="s">
        <v>323</v>
      </c>
      <c r="G797" s="329" t="s">
        <v>1323</v>
      </c>
      <c r="H797" s="807" t="s">
        <v>1322</v>
      </c>
      <c r="I797" s="776">
        <v>1</v>
      </c>
      <c r="J797" s="776">
        <f>J796</f>
        <v>70000</v>
      </c>
      <c r="K797" s="776">
        <f>I797*J797</f>
        <v>70000</v>
      </c>
      <c r="L797" s="334">
        <v>0</v>
      </c>
      <c r="M797" s="411">
        <f>K797</f>
        <v>70000</v>
      </c>
      <c r="N797" s="1280">
        <v>0</v>
      </c>
      <c r="O797" s="776">
        <f>K797</f>
        <v>70000</v>
      </c>
      <c r="P797" s="776">
        <f>O797/D797</f>
        <v>318.18181818181819</v>
      </c>
      <c r="Q797" s="981" t="s">
        <v>1518</v>
      </c>
    </row>
    <row r="798" spans="1:19" s="373" customFormat="1">
      <c r="A798" s="885"/>
      <c r="B798" s="761"/>
      <c r="C798" s="761"/>
      <c r="D798" s="761"/>
      <c r="E798" s="761"/>
      <c r="F798" s="762"/>
      <c r="G798" s="384"/>
      <c r="H798" s="776"/>
      <c r="I798" s="776"/>
      <c r="J798" s="776"/>
      <c r="K798" s="776"/>
      <c r="L798" s="334"/>
      <c r="M798" s="334"/>
      <c r="N798" s="326"/>
      <c r="O798" s="407"/>
      <c r="P798" s="407"/>
      <c r="Q798" s="979"/>
    </row>
    <row r="799" spans="1:19" s="373" customFormat="1">
      <c r="A799" s="1532" t="s">
        <v>367</v>
      </c>
      <c r="B799" s="1533"/>
      <c r="C799" s="1533"/>
      <c r="D799" s="1533"/>
      <c r="E799" s="1533"/>
      <c r="F799" s="1533"/>
      <c r="G799" s="1534"/>
      <c r="H799" s="364"/>
      <c r="I799" s="364"/>
      <c r="J799" s="364"/>
      <c r="K799" s="364">
        <f>SUM(K793:K797)</f>
        <v>1565000</v>
      </c>
      <c r="L799" s="365">
        <f>SUM(L793:L797)</f>
        <v>0</v>
      </c>
      <c r="M799" s="365">
        <f>SUM(M793:M797)</f>
        <v>1565000</v>
      </c>
      <c r="N799" s="364">
        <f>SUM(N793:N797)</f>
        <v>0</v>
      </c>
      <c r="O799" s="415"/>
      <c r="P799" s="597"/>
      <c r="Q799" s="979"/>
    </row>
    <row r="800" spans="1:19" s="373" customFormat="1">
      <c r="A800" s="885"/>
      <c r="B800" s="782"/>
      <c r="C800" s="782"/>
      <c r="D800" s="782"/>
      <c r="E800" s="782"/>
      <c r="F800" s="762"/>
      <c r="G800" s="328"/>
      <c r="H800" s="776"/>
      <c r="I800" s="776"/>
      <c r="J800" s="776"/>
      <c r="K800" s="776"/>
      <c r="L800" s="334"/>
      <c r="M800" s="334"/>
      <c r="N800" s="776"/>
      <c r="O800" s="597"/>
      <c r="P800" s="597"/>
      <c r="Q800" s="584"/>
    </row>
    <row r="801" spans="1:17" s="373" customFormat="1" ht="15" customHeight="1" thickBot="1">
      <c r="A801" s="1474" t="s">
        <v>368</v>
      </c>
      <c r="B801" s="1475"/>
      <c r="C801" s="1475"/>
      <c r="D801" s="1475"/>
      <c r="E801" s="1475"/>
      <c r="F801" s="1475"/>
      <c r="G801" s="1476"/>
      <c r="H801" s="581"/>
      <c r="I801" s="581"/>
      <c r="J801" s="581"/>
      <c r="K801" s="582">
        <f>K789+K799</f>
        <v>2715200</v>
      </c>
      <c r="L801" s="583">
        <f>L789+L799</f>
        <v>753400</v>
      </c>
      <c r="M801" s="583">
        <f>M789+M799</f>
        <v>1961800</v>
      </c>
      <c r="N801" s="582">
        <f>N789+N799</f>
        <v>0</v>
      </c>
      <c r="O801" s="580"/>
      <c r="P801" s="580"/>
      <c r="Q801" s="886"/>
    </row>
    <row r="802" spans="1:17" s="373" customFormat="1" ht="15.75" thickBot="1">
      <c r="A802" s="876"/>
      <c r="B802" s="899"/>
      <c r="C802" s="899"/>
      <c r="D802" s="899"/>
      <c r="E802" s="899"/>
      <c r="F802" s="900"/>
      <c r="G802" s="897"/>
      <c r="H802" s="901"/>
      <c r="I802" s="900"/>
      <c r="J802" s="900"/>
      <c r="K802" s="900"/>
      <c r="L802" s="902"/>
      <c r="M802" s="902"/>
      <c r="N802" s="900"/>
      <c r="O802" s="876"/>
      <c r="P802" s="876"/>
      <c r="Q802" s="876"/>
    </row>
    <row r="803" spans="1:17" s="373" customFormat="1" ht="15.75" thickBot="1">
      <c r="A803" s="882"/>
      <c r="B803" s="639"/>
      <c r="C803" s="639"/>
      <c r="D803" s="639"/>
      <c r="E803" s="639"/>
      <c r="F803" s="846"/>
      <c r="G803" s="577" t="s">
        <v>1904</v>
      </c>
      <c r="H803" s="872"/>
      <c r="I803" s="873"/>
      <c r="J803" s="853"/>
      <c r="K803" s="639"/>
      <c r="L803" s="640"/>
      <c r="M803" s="640"/>
      <c r="N803" s="639"/>
      <c r="O803" s="853"/>
      <c r="P803" s="853"/>
      <c r="Q803" s="883"/>
    </row>
    <row r="804" spans="1:17" s="373" customFormat="1" ht="15.75" thickBot="1">
      <c r="A804" s="884"/>
      <c r="B804" s="355"/>
      <c r="C804" s="355"/>
      <c r="D804" s="355"/>
      <c r="E804" s="355"/>
      <c r="F804" s="356"/>
      <c r="G804" s="576"/>
      <c r="H804" s="358"/>
      <c r="I804" s="358"/>
      <c r="J804" s="358"/>
      <c r="K804" s="358"/>
      <c r="L804" s="359"/>
      <c r="M804" s="359"/>
      <c r="N804" s="358"/>
      <c r="O804" s="419"/>
      <c r="P804" s="419"/>
      <c r="Q804" s="862"/>
    </row>
    <row r="805" spans="1:17" s="373" customFormat="1" ht="60">
      <c r="A805" s="1562" t="s">
        <v>1472</v>
      </c>
      <c r="B805" s="1538" t="s">
        <v>676</v>
      </c>
      <c r="C805" s="1564" t="s">
        <v>610</v>
      </c>
      <c r="D805" s="1538" t="s">
        <v>611</v>
      </c>
      <c r="E805" s="1538" t="s">
        <v>1453</v>
      </c>
      <c r="F805" s="1472" t="s">
        <v>159</v>
      </c>
      <c r="G805" s="1509" t="s">
        <v>110</v>
      </c>
      <c r="H805" s="1477" t="s">
        <v>316</v>
      </c>
      <c r="I805" s="1472" t="s">
        <v>315</v>
      </c>
      <c r="J805" s="1472" t="s">
        <v>317</v>
      </c>
      <c r="K805" s="1472" t="s">
        <v>318</v>
      </c>
      <c r="L805" s="569" t="s">
        <v>1443</v>
      </c>
      <c r="M805" s="569" t="s">
        <v>1444</v>
      </c>
      <c r="N805" s="752" t="s">
        <v>1445</v>
      </c>
      <c r="O805" s="1477" t="s">
        <v>1673</v>
      </c>
      <c r="P805" s="1477" t="s">
        <v>1307</v>
      </c>
      <c r="Q805" s="1495" t="s">
        <v>1454</v>
      </c>
    </row>
    <row r="806" spans="1:17" s="373" customFormat="1" ht="15.75" thickBot="1">
      <c r="A806" s="1563"/>
      <c r="B806" s="1539"/>
      <c r="C806" s="1565"/>
      <c r="D806" s="1539"/>
      <c r="E806" s="1539"/>
      <c r="F806" s="1473"/>
      <c r="G806" s="1510"/>
      <c r="H806" s="1478"/>
      <c r="I806" s="1473"/>
      <c r="J806" s="1473"/>
      <c r="K806" s="1473"/>
      <c r="L806" s="570" t="s">
        <v>805</v>
      </c>
      <c r="M806" s="570" t="s">
        <v>805</v>
      </c>
      <c r="N806" s="753" t="s">
        <v>1149</v>
      </c>
      <c r="O806" s="1478"/>
      <c r="P806" s="1478"/>
      <c r="Q806" s="1496"/>
    </row>
    <row r="807" spans="1:17" s="373" customFormat="1">
      <c r="A807" s="1633" t="s">
        <v>653</v>
      </c>
      <c r="B807" s="1715" t="s">
        <v>653</v>
      </c>
      <c r="C807" s="1715" t="s">
        <v>653</v>
      </c>
      <c r="D807" s="1610">
        <v>9955</v>
      </c>
      <c r="E807" s="1610" t="s">
        <v>1451</v>
      </c>
      <c r="F807" s="1468" t="s">
        <v>140</v>
      </c>
      <c r="G807" s="412" t="s">
        <v>509</v>
      </c>
      <c r="H807" s="422" t="s">
        <v>280</v>
      </c>
      <c r="I807" s="756">
        <v>1</v>
      </c>
      <c r="J807" s="756">
        <v>58000</v>
      </c>
      <c r="K807" s="756">
        <f>J807*I807</f>
        <v>58000</v>
      </c>
      <c r="L807" s="411">
        <f t="shared" ref="L807:L813" si="70">K807</f>
        <v>58000</v>
      </c>
      <c r="M807" s="411">
        <v>0</v>
      </c>
      <c r="N807" s="433">
        <v>0</v>
      </c>
      <c r="O807" s="1463">
        <f>L832</f>
        <v>4632940</v>
      </c>
      <c r="P807" s="1463">
        <f>O807/D807</f>
        <v>465.38824711200402</v>
      </c>
      <c r="Q807" s="861"/>
    </row>
    <row r="808" spans="1:17" s="373" customFormat="1">
      <c r="A808" s="1630"/>
      <c r="B808" s="1587"/>
      <c r="C808" s="1587"/>
      <c r="D808" s="1628"/>
      <c r="E808" s="1628"/>
      <c r="F808" s="1600"/>
      <c r="G808" s="329" t="s">
        <v>510</v>
      </c>
      <c r="H808" s="653" t="s">
        <v>280</v>
      </c>
      <c r="I808" s="776">
        <v>4</v>
      </c>
      <c r="J808" s="776">
        <v>58000</v>
      </c>
      <c r="K808" s="776">
        <f>J808*I808</f>
        <v>232000</v>
      </c>
      <c r="L808" s="334">
        <f t="shared" si="70"/>
        <v>232000</v>
      </c>
      <c r="M808" s="334">
        <v>0</v>
      </c>
      <c r="N808" s="376">
        <v>0</v>
      </c>
      <c r="O808" s="1464"/>
      <c r="P808" s="1464"/>
      <c r="Q808" s="584"/>
    </row>
    <row r="809" spans="1:17" s="373" customFormat="1" ht="30">
      <c r="A809" s="1630"/>
      <c r="B809" s="1587"/>
      <c r="C809" s="1587"/>
      <c r="D809" s="1628"/>
      <c r="E809" s="1628"/>
      <c r="F809" s="1600"/>
      <c r="G809" s="329" t="s">
        <v>511</v>
      </c>
      <c r="H809" s="653" t="s">
        <v>280</v>
      </c>
      <c r="I809" s="776">
        <v>1</v>
      </c>
      <c r="J809" s="776">
        <v>23000</v>
      </c>
      <c r="K809" s="776">
        <f>I809*J809</f>
        <v>23000</v>
      </c>
      <c r="L809" s="334">
        <f t="shared" si="70"/>
        <v>23000</v>
      </c>
      <c r="M809" s="334">
        <v>0</v>
      </c>
      <c r="N809" s="376">
        <v>0</v>
      </c>
      <c r="O809" s="1464"/>
      <c r="P809" s="1464"/>
      <c r="Q809" s="584"/>
    </row>
    <row r="810" spans="1:17" s="373" customFormat="1">
      <c r="A810" s="1630"/>
      <c r="B810" s="1587"/>
      <c r="C810" s="1587"/>
      <c r="D810" s="1628"/>
      <c r="E810" s="1628"/>
      <c r="F810" s="1600"/>
      <c r="G810" s="329" t="s">
        <v>512</v>
      </c>
      <c r="H810" s="653" t="s">
        <v>280</v>
      </c>
      <c r="I810" s="776">
        <v>1</v>
      </c>
      <c r="J810" s="776">
        <v>23000</v>
      </c>
      <c r="K810" s="776">
        <f>I810*J810</f>
        <v>23000</v>
      </c>
      <c r="L810" s="334">
        <f t="shared" si="70"/>
        <v>23000</v>
      </c>
      <c r="M810" s="334">
        <v>0</v>
      </c>
      <c r="N810" s="376">
        <v>0</v>
      </c>
      <c r="O810" s="1464"/>
      <c r="P810" s="1464"/>
      <c r="Q810" s="584"/>
    </row>
    <row r="811" spans="1:17" s="373" customFormat="1">
      <c r="A811" s="1630"/>
      <c r="B811" s="1587"/>
      <c r="C811" s="1587"/>
      <c r="D811" s="1628"/>
      <c r="E811" s="1628"/>
      <c r="F811" s="1600"/>
      <c r="G811" s="329" t="s">
        <v>513</v>
      </c>
      <c r="H811" s="653" t="s">
        <v>280</v>
      </c>
      <c r="I811" s="776">
        <v>2</v>
      </c>
      <c r="J811" s="776">
        <v>12000</v>
      </c>
      <c r="K811" s="776">
        <f>J811*I811</f>
        <v>24000</v>
      </c>
      <c r="L811" s="334">
        <f t="shared" si="70"/>
        <v>24000</v>
      </c>
      <c r="M811" s="334">
        <v>0</v>
      </c>
      <c r="N811" s="376">
        <v>0</v>
      </c>
      <c r="O811" s="1464"/>
      <c r="P811" s="1464"/>
      <c r="Q811" s="584"/>
    </row>
    <row r="812" spans="1:17" s="373" customFormat="1" ht="30">
      <c r="A812" s="1630"/>
      <c r="B812" s="1587"/>
      <c r="C812" s="1587"/>
      <c r="D812" s="1628"/>
      <c r="E812" s="1628"/>
      <c r="F812" s="1600"/>
      <c r="G812" s="329" t="s">
        <v>514</v>
      </c>
      <c r="H812" s="653" t="s">
        <v>160</v>
      </c>
      <c r="I812" s="776">
        <v>6000</v>
      </c>
      <c r="J812" s="776">
        <f>'preturi unitare'!H30</f>
        <v>515</v>
      </c>
      <c r="K812" s="776">
        <f t="shared" ref="K812:K828" si="71">I812*J812</f>
        <v>3090000</v>
      </c>
      <c r="L812" s="334">
        <f t="shared" si="70"/>
        <v>3090000</v>
      </c>
      <c r="M812" s="334">
        <v>0</v>
      </c>
      <c r="N812" s="376">
        <v>0</v>
      </c>
      <c r="O812" s="1464"/>
      <c r="P812" s="1464"/>
      <c r="Q812" s="584"/>
    </row>
    <row r="813" spans="1:17" s="373" customFormat="1" ht="30">
      <c r="A813" s="1630"/>
      <c r="B813" s="1587"/>
      <c r="C813" s="1587"/>
      <c r="D813" s="1628"/>
      <c r="E813" s="1628"/>
      <c r="F813" s="1600"/>
      <c r="G813" s="329" t="s">
        <v>515</v>
      </c>
      <c r="H813" s="653" t="s">
        <v>280</v>
      </c>
      <c r="I813" s="776">
        <v>1</v>
      </c>
      <c r="J813" s="776">
        <v>120000</v>
      </c>
      <c r="K813" s="776">
        <f t="shared" si="71"/>
        <v>120000</v>
      </c>
      <c r="L813" s="334">
        <f t="shared" si="70"/>
        <v>120000</v>
      </c>
      <c r="M813" s="334">
        <v>0</v>
      </c>
      <c r="N813" s="376">
        <v>0</v>
      </c>
      <c r="O813" s="1464"/>
      <c r="P813" s="1464"/>
      <c r="Q813" s="584"/>
    </row>
    <row r="814" spans="1:17" s="373" customFormat="1" ht="30">
      <c r="A814" s="1630"/>
      <c r="B814" s="1587"/>
      <c r="C814" s="1587"/>
      <c r="D814" s="1628"/>
      <c r="E814" s="1628"/>
      <c r="F814" s="762" t="s">
        <v>319</v>
      </c>
      <c r="G814" s="329" t="s">
        <v>766</v>
      </c>
      <c r="H814" s="807" t="s">
        <v>280</v>
      </c>
      <c r="I814" s="776">
        <v>1</v>
      </c>
      <c r="J814" s="776">
        <v>1730000</v>
      </c>
      <c r="K814" s="776">
        <f t="shared" si="71"/>
        <v>1730000</v>
      </c>
      <c r="L814" s="334">
        <v>0</v>
      </c>
      <c r="M814" s="334">
        <v>0</v>
      </c>
      <c r="N814" s="376">
        <f>K814</f>
        <v>1730000</v>
      </c>
      <c r="O814" s="1464"/>
      <c r="P814" s="1464"/>
      <c r="Q814" s="1003" t="s">
        <v>1451</v>
      </c>
    </row>
    <row r="815" spans="1:17" s="373" customFormat="1" ht="30">
      <c r="A815" s="1630"/>
      <c r="B815" s="1587"/>
      <c r="C815" s="1587"/>
      <c r="D815" s="1628"/>
      <c r="E815" s="1628"/>
      <c r="F815" s="1305" t="s">
        <v>324</v>
      </c>
      <c r="G815" s="329" t="s">
        <v>2099</v>
      </c>
      <c r="H815" s="807" t="s">
        <v>280</v>
      </c>
      <c r="I815" s="1304">
        <v>1</v>
      </c>
      <c r="J815" s="1304">
        <f>'preturi unitare'!H5</f>
        <v>70000</v>
      </c>
      <c r="K815" s="1304">
        <f>I815*J815</f>
        <v>70000</v>
      </c>
      <c r="L815" s="334">
        <f>K815</f>
        <v>70000</v>
      </c>
      <c r="M815" s="334">
        <v>0</v>
      </c>
      <c r="N815" s="376">
        <v>0</v>
      </c>
      <c r="O815" s="1464"/>
      <c r="P815" s="1464"/>
      <c r="Q815" s="1003"/>
    </row>
    <row r="816" spans="1:17" s="373" customFormat="1" ht="30">
      <c r="A816" s="1630"/>
      <c r="B816" s="1587"/>
      <c r="C816" s="1587"/>
      <c r="D816" s="1628"/>
      <c r="E816" s="1628"/>
      <c r="F816" s="1687" t="s">
        <v>322</v>
      </c>
      <c r="G816" s="362" t="s">
        <v>566</v>
      </c>
      <c r="H816" s="807" t="s">
        <v>160</v>
      </c>
      <c r="I816" s="776">
        <v>140</v>
      </c>
      <c r="J816" s="776">
        <f>'preturi unitare'!J22</f>
        <v>71</v>
      </c>
      <c r="K816" s="776">
        <f t="shared" si="71"/>
        <v>9940</v>
      </c>
      <c r="L816" s="334">
        <f t="shared" ref="L816:L827" si="72">K816</f>
        <v>9940</v>
      </c>
      <c r="M816" s="334">
        <v>0</v>
      </c>
      <c r="N816" s="376">
        <v>0</v>
      </c>
      <c r="O816" s="1464"/>
      <c r="P816" s="1464"/>
      <c r="Q816" s="1007"/>
    </row>
    <row r="817" spans="1:17" s="373" customFormat="1" ht="30">
      <c r="A817" s="1630"/>
      <c r="B817" s="1587"/>
      <c r="C817" s="1587"/>
      <c r="D817" s="1628"/>
      <c r="E817" s="1628"/>
      <c r="F817" s="1467"/>
      <c r="G817" s="362" t="s">
        <v>567</v>
      </c>
      <c r="H817" s="807" t="s">
        <v>160</v>
      </c>
      <c r="I817" s="776">
        <v>1400</v>
      </c>
      <c r="J817" s="776">
        <f>'preturi unitare'!J24</f>
        <v>87</v>
      </c>
      <c r="K817" s="776">
        <f t="shared" si="71"/>
        <v>121800</v>
      </c>
      <c r="L817" s="334">
        <v>0</v>
      </c>
      <c r="M817" s="334">
        <f t="shared" ref="M817:M823" si="73">K817</f>
        <v>121800</v>
      </c>
      <c r="N817" s="376">
        <v>0</v>
      </c>
      <c r="O817" s="1464"/>
      <c r="P817" s="1464"/>
      <c r="Q817" s="1003" t="s">
        <v>1451</v>
      </c>
    </row>
    <row r="818" spans="1:17" s="373" customFormat="1" ht="30">
      <c r="A818" s="1630"/>
      <c r="B818" s="1587"/>
      <c r="C818" s="1587"/>
      <c r="D818" s="1628"/>
      <c r="E818" s="1628"/>
      <c r="F818" s="1467"/>
      <c r="G818" s="362" t="s">
        <v>767</v>
      </c>
      <c r="H818" s="807" t="s">
        <v>160</v>
      </c>
      <c r="I818" s="776">
        <v>3300</v>
      </c>
      <c r="J818" s="776">
        <f>'preturi unitare'!J26</f>
        <v>129</v>
      </c>
      <c r="K818" s="776">
        <f t="shared" si="71"/>
        <v>425700</v>
      </c>
      <c r="L818" s="334">
        <v>0</v>
      </c>
      <c r="M818" s="334">
        <f t="shared" si="73"/>
        <v>425700</v>
      </c>
      <c r="N818" s="376">
        <v>0</v>
      </c>
      <c r="O818" s="1464"/>
      <c r="P818" s="1464"/>
      <c r="Q818" s="1003" t="s">
        <v>1451</v>
      </c>
    </row>
    <row r="819" spans="1:17" s="373" customFormat="1" ht="30">
      <c r="A819" s="1630"/>
      <c r="B819" s="1587"/>
      <c r="C819" s="1587"/>
      <c r="D819" s="1628"/>
      <c r="E819" s="1628"/>
      <c r="F819" s="1467"/>
      <c r="G819" s="362" t="s">
        <v>568</v>
      </c>
      <c r="H819" s="807" t="s">
        <v>160</v>
      </c>
      <c r="I819" s="776">
        <v>1500</v>
      </c>
      <c r="J819" s="776">
        <f>'preturi unitare'!I33</f>
        <v>66</v>
      </c>
      <c r="K819" s="776">
        <f t="shared" si="71"/>
        <v>99000</v>
      </c>
      <c r="L819" s="334">
        <v>0</v>
      </c>
      <c r="M819" s="334">
        <f t="shared" si="73"/>
        <v>99000</v>
      </c>
      <c r="N819" s="376">
        <v>0</v>
      </c>
      <c r="O819" s="1464"/>
      <c r="P819" s="1464"/>
      <c r="Q819" s="1003" t="s">
        <v>1451</v>
      </c>
    </row>
    <row r="820" spans="1:17" s="373" customFormat="1" ht="30">
      <c r="A820" s="1630"/>
      <c r="B820" s="1587"/>
      <c r="C820" s="1587"/>
      <c r="D820" s="1628"/>
      <c r="E820" s="1628"/>
      <c r="F820" s="1467"/>
      <c r="G820" s="362" t="s">
        <v>569</v>
      </c>
      <c r="H820" s="807" t="s">
        <v>160</v>
      </c>
      <c r="I820" s="776">
        <v>1500</v>
      </c>
      <c r="J820" s="776">
        <f>'preturi unitare'!J22</f>
        <v>71</v>
      </c>
      <c r="K820" s="776">
        <f t="shared" si="71"/>
        <v>106500</v>
      </c>
      <c r="L820" s="334">
        <v>0</v>
      </c>
      <c r="M820" s="334">
        <f t="shared" si="73"/>
        <v>106500</v>
      </c>
      <c r="N820" s="376">
        <v>0</v>
      </c>
      <c r="O820" s="1464"/>
      <c r="P820" s="1464"/>
      <c r="Q820" s="1003" t="s">
        <v>1451</v>
      </c>
    </row>
    <row r="821" spans="1:17" s="373" customFormat="1" ht="30">
      <c r="A821" s="1630"/>
      <c r="B821" s="1587"/>
      <c r="C821" s="1587"/>
      <c r="D821" s="1628"/>
      <c r="E821" s="1628"/>
      <c r="F821" s="1467"/>
      <c r="G821" s="362" t="s">
        <v>570</v>
      </c>
      <c r="H821" s="807" t="s">
        <v>160</v>
      </c>
      <c r="I821" s="776">
        <v>1900</v>
      </c>
      <c r="J821" s="776">
        <f>'preturi unitare'!J24</f>
        <v>87</v>
      </c>
      <c r="K821" s="776">
        <f t="shared" si="71"/>
        <v>165300</v>
      </c>
      <c r="L821" s="334">
        <v>0</v>
      </c>
      <c r="M821" s="334">
        <f t="shared" si="73"/>
        <v>165300</v>
      </c>
      <c r="N821" s="376">
        <v>0</v>
      </c>
      <c r="O821" s="1464"/>
      <c r="P821" s="1464"/>
      <c r="Q821" s="1003" t="s">
        <v>1451</v>
      </c>
    </row>
    <row r="822" spans="1:17" s="373" customFormat="1" ht="30">
      <c r="A822" s="1630"/>
      <c r="B822" s="1587"/>
      <c r="C822" s="1587"/>
      <c r="D822" s="1628"/>
      <c r="E822" s="1628"/>
      <c r="F822" s="1467"/>
      <c r="G822" s="362" t="s">
        <v>768</v>
      </c>
      <c r="H822" s="807" t="s">
        <v>160</v>
      </c>
      <c r="I822" s="776">
        <v>300</v>
      </c>
      <c r="J822" s="776">
        <f>'preturi unitare'!J23</f>
        <v>75</v>
      </c>
      <c r="K822" s="776">
        <f t="shared" si="71"/>
        <v>22500</v>
      </c>
      <c r="L822" s="334">
        <v>0</v>
      </c>
      <c r="M822" s="334">
        <f t="shared" si="73"/>
        <v>22500</v>
      </c>
      <c r="N822" s="376">
        <v>0</v>
      </c>
      <c r="O822" s="1464"/>
      <c r="P822" s="1464"/>
      <c r="Q822" s="1003" t="s">
        <v>1451</v>
      </c>
    </row>
    <row r="823" spans="1:17" s="373" customFormat="1" ht="30">
      <c r="A823" s="1630"/>
      <c r="B823" s="1587"/>
      <c r="C823" s="1587"/>
      <c r="D823" s="1628"/>
      <c r="E823" s="1628"/>
      <c r="F823" s="1467"/>
      <c r="G823" s="362" t="s">
        <v>571</v>
      </c>
      <c r="H823" s="653" t="s">
        <v>160</v>
      </c>
      <c r="I823" s="776">
        <v>200</v>
      </c>
      <c r="J823" s="776">
        <f>J820</f>
        <v>71</v>
      </c>
      <c r="K823" s="776">
        <f t="shared" si="71"/>
        <v>14200</v>
      </c>
      <c r="L823" s="334">
        <v>0</v>
      </c>
      <c r="M823" s="334">
        <f t="shared" si="73"/>
        <v>14200</v>
      </c>
      <c r="N823" s="376">
        <v>0</v>
      </c>
      <c r="O823" s="1464"/>
      <c r="P823" s="1464"/>
      <c r="Q823" s="1003" t="s">
        <v>1451</v>
      </c>
    </row>
    <row r="824" spans="1:17" s="373" customFormat="1" ht="30">
      <c r="A824" s="1630"/>
      <c r="B824" s="1587"/>
      <c r="C824" s="1587"/>
      <c r="D824" s="1628"/>
      <c r="E824" s="1628"/>
      <c r="F824" s="1467"/>
      <c r="G824" s="362" t="s">
        <v>770</v>
      </c>
      <c r="H824" s="653" t="s">
        <v>160</v>
      </c>
      <c r="I824" s="776">
        <v>500</v>
      </c>
      <c r="J824" s="776">
        <f>'preturi unitare'!H22</f>
        <v>64</v>
      </c>
      <c r="K824" s="776">
        <f t="shared" si="71"/>
        <v>32000</v>
      </c>
      <c r="L824" s="334">
        <f t="shared" si="72"/>
        <v>32000</v>
      </c>
      <c r="M824" s="334">
        <v>0</v>
      </c>
      <c r="N824" s="376">
        <v>0</v>
      </c>
      <c r="O824" s="1464"/>
      <c r="P824" s="1464"/>
      <c r="Q824" s="1500" t="s">
        <v>1627</v>
      </c>
    </row>
    <row r="825" spans="1:17" s="373" customFormat="1" ht="30">
      <c r="A825" s="1630"/>
      <c r="B825" s="1587"/>
      <c r="C825" s="1587"/>
      <c r="D825" s="1628"/>
      <c r="E825" s="1628"/>
      <c r="F825" s="1467"/>
      <c r="G825" s="362" t="s">
        <v>879</v>
      </c>
      <c r="H825" s="653" t="s">
        <v>160</v>
      </c>
      <c r="I825" s="776">
        <v>5000</v>
      </c>
      <c r="J825" s="776">
        <f>'preturi unitare'!H22</f>
        <v>64</v>
      </c>
      <c r="K825" s="776">
        <f t="shared" si="71"/>
        <v>320000</v>
      </c>
      <c r="L825" s="334">
        <f t="shared" si="72"/>
        <v>320000</v>
      </c>
      <c r="M825" s="334">
        <v>0</v>
      </c>
      <c r="N825" s="376">
        <v>0</v>
      </c>
      <c r="O825" s="1464"/>
      <c r="P825" s="1464"/>
      <c r="Q825" s="1498"/>
    </row>
    <row r="826" spans="1:17" s="373" customFormat="1" ht="30">
      <c r="A826" s="1630"/>
      <c r="B826" s="1587"/>
      <c r="C826" s="1587"/>
      <c r="D826" s="1628"/>
      <c r="E826" s="1628"/>
      <c r="F826" s="1467"/>
      <c r="G826" s="362" t="s">
        <v>2097</v>
      </c>
      <c r="H826" s="1300" t="s">
        <v>160</v>
      </c>
      <c r="I826" s="1301">
        <v>3000</v>
      </c>
      <c r="J826" s="1301">
        <f>J825</f>
        <v>64</v>
      </c>
      <c r="K826" s="1301">
        <f>I826*J826</f>
        <v>192000</v>
      </c>
      <c r="L826" s="334">
        <f>K826</f>
        <v>192000</v>
      </c>
      <c r="M826" s="334">
        <v>0</v>
      </c>
      <c r="N826" s="376">
        <v>0</v>
      </c>
      <c r="O826" s="1464"/>
      <c r="P826" s="1464"/>
      <c r="Q826" s="1498"/>
    </row>
    <row r="827" spans="1:17" s="373" customFormat="1" ht="30">
      <c r="A827" s="1630"/>
      <c r="B827" s="1587"/>
      <c r="C827" s="1587"/>
      <c r="D827" s="1628"/>
      <c r="E827" s="1628"/>
      <c r="F827" s="1467"/>
      <c r="G827" s="362" t="s">
        <v>769</v>
      </c>
      <c r="H827" s="653" t="s">
        <v>160</v>
      </c>
      <c r="I827" s="776">
        <v>1000</v>
      </c>
      <c r="J827" s="776">
        <f>'preturi unitare'!H22</f>
        <v>64</v>
      </c>
      <c r="K827" s="776">
        <f t="shared" si="71"/>
        <v>64000</v>
      </c>
      <c r="L827" s="334">
        <f t="shared" si="72"/>
        <v>64000</v>
      </c>
      <c r="M827" s="334">
        <v>0</v>
      </c>
      <c r="N827" s="376">
        <v>0</v>
      </c>
      <c r="O827" s="1464"/>
      <c r="P827" s="1464"/>
      <c r="Q827" s="1498"/>
    </row>
    <row r="828" spans="1:17" s="373" customFormat="1" ht="30">
      <c r="A828" s="1630"/>
      <c r="B828" s="1587"/>
      <c r="C828" s="1587"/>
      <c r="D828" s="1628"/>
      <c r="E828" s="1628"/>
      <c r="F828" s="1467"/>
      <c r="G828" s="362" t="s">
        <v>880</v>
      </c>
      <c r="H828" s="807" t="s">
        <v>160</v>
      </c>
      <c r="I828" s="776">
        <v>2000</v>
      </c>
      <c r="J828" s="776">
        <f>J827</f>
        <v>64</v>
      </c>
      <c r="K828" s="776">
        <f t="shared" si="71"/>
        <v>128000</v>
      </c>
      <c r="L828" s="334">
        <f>K828</f>
        <v>128000</v>
      </c>
      <c r="M828" s="334">
        <v>0</v>
      </c>
      <c r="N828" s="376">
        <v>0</v>
      </c>
      <c r="O828" s="1464"/>
      <c r="P828" s="1464"/>
      <c r="Q828" s="1499"/>
    </row>
    <row r="829" spans="1:17" s="373" customFormat="1" ht="30">
      <c r="A829" s="1630"/>
      <c r="B829" s="1587"/>
      <c r="C829" s="1587"/>
      <c r="D829" s="1628"/>
      <c r="E829" s="1628"/>
      <c r="F829" s="1468"/>
      <c r="G829" s="362" t="s">
        <v>2101</v>
      </c>
      <c r="H829" s="807" t="s">
        <v>160</v>
      </c>
      <c r="I829" s="1314">
        <v>3000</v>
      </c>
      <c r="J829" s="1314">
        <f>J828</f>
        <v>64</v>
      </c>
      <c r="K829" s="1314">
        <f>I829*J829</f>
        <v>192000</v>
      </c>
      <c r="L829" s="334">
        <f>K829</f>
        <v>192000</v>
      </c>
      <c r="M829" s="334">
        <v>0</v>
      </c>
      <c r="N829" s="376">
        <v>0</v>
      </c>
      <c r="O829" s="1465"/>
      <c r="P829" s="1465"/>
      <c r="Q829" s="1316"/>
    </row>
    <row r="830" spans="1:17" s="373" customFormat="1" ht="32.25">
      <c r="A830" s="1634"/>
      <c r="B830" s="1487"/>
      <c r="C830" s="1487"/>
      <c r="D830" s="1607"/>
      <c r="E830" s="1607"/>
      <c r="F830" s="1306" t="s">
        <v>279</v>
      </c>
      <c r="G830" s="362" t="s">
        <v>2100</v>
      </c>
      <c r="H830" s="807" t="s">
        <v>280</v>
      </c>
      <c r="I830" s="1304">
        <v>1</v>
      </c>
      <c r="J830" s="1304">
        <f>'preturi unitare'!E27</f>
        <v>55000</v>
      </c>
      <c r="K830" s="1304">
        <f>I830*J830</f>
        <v>55000</v>
      </c>
      <c r="L830" s="334">
        <f>K830</f>
        <v>55000</v>
      </c>
      <c r="M830" s="334">
        <v>0</v>
      </c>
      <c r="N830" s="376">
        <v>0</v>
      </c>
      <c r="O830" s="1303"/>
      <c r="P830" s="1303"/>
      <c r="Q830" s="1307"/>
    </row>
    <row r="831" spans="1:17" s="373" customFormat="1">
      <c r="A831" s="885"/>
      <c r="B831" s="761"/>
      <c r="C831" s="761"/>
      <c r="D831" s="761"/>
      <c r="E831" s="761"/>
      <c r="F831" s="762"/>
      <c r="G831" s="329"/>
      <c r="H831" s="653"/>
      <c r="I831" s="776"/>
      <c r="J831" s="776"/>
      <c r="K831" s="776"/>
      <c r="L831" s="334"/>
      <c r="M831" s="334"/>
      <c r="N831" s="326"/>
      <c r="O831" s="387"/>
      <c r="P831" s="387"/>
      <c r="Q831" s="584"/>
    </row>
    <row r="832" spans="1:17" s="373" customFormat="1">
      <c r="A832" s="1469" t="s">
        <v>460</v>
      </c>
      <c r="B832" s="1470"/>
      <c r="C832" s="1470"/>
      <c r="D832" s="1470"/>
      <c r="E832" s="1470"/>
      <c r="F832" s="1470"/>
      <c r="G832" s="1471"/>
      <c r="H832" s="793"/>
      <c r="I832" s="776"/>
      <c r="J832" s="776"/>
      <c r="K832" s="364">
        <f>SUM(K807:K830)</f>
        <v>7317940</v>
      </c>
      <c r="L832" s="365">
        <f>SUM(L807:L830)</f>
        <v>4632940</v>
      </c>
      <c r="M832" s="365">
        <f>SUM(M807:M830)</f>
        <v>955000</v>
      </c>
      <c r="N832" s="364">
        <f>SUM(N807:N830)</f>
        <v>1730000</v>
      </c>
      <c r="O832" s="415"/>
      <c r="P832" s="387"/>
      <c r="Q832" s="584"/>
    </row>
    <row r="833" spans="1:17" s="373" customFormat="1" ht="15.75" thickBot="1">
      <c r="A833" s="884"/>
      <c r="B833" s="397"/>
      <c r="C833" s="397"/>
      <c r="D833" s="397"/>
      <c r="E833" s="397"/>
      <c r="F833" s="766"/>
      <c r="G833" s="417"/>
      <c r="H833" s="732"/>
      <c r="I833" s="732"/>
      <c r="J833" s="732"/>
      <c r="K833" s="732"/>
      <c r="L833" s="426"/>
      <c r="M833" s="426"/>
      <c r="N833" s="418"/>
      <c r="O833" s="419"/>
      <c r="P833" s="419"/>
      <c r="Q833" s="862"/>
    </row>
    <row r="834" spans="1:17" s="373" customFormat="1" ht="60">
      <c r="A834" s="1542" t="s">
        <v>1472</v>
      </c>
      <c r="B834" s="1544" t="s">
        <v>617</v>
      </c>
      <c r="C834" s="1538" t="s">
        <v>610</v>
      </c>
      <c r="D834" s="1538" t="s">
        <v>611</v>
      </c>
      <c r="E834" s="1538" t="s">
        <v>1453</v>
      </c>
      <c r="F834" s="1472" t="s">
        <v>159</v>
      </c>
      <c r="G834" s="1509" t="s">
        <v>110</v>
      </c>
      <c r="H834" s="1477" t="s">
        <v>316</v>
      </c>
      <c r="I834" s="1472" t="s">
        <v>315</v>
      </c>
      <c r="J834" s="1472" t="s">
        <v>317</v>
      </c>
      <c r="K834" s="1472" t="s">
        <v>318</v>
      </c>
      <c r="L834" s="569" t="s">
        <v>1443</v>
      </c>
      <c r="M834" s="569" t="s">
        <v>1444</v>
      </c>
      <c r="N834" s="752" t="s">
        <v>1445</v>
      </c>
      <c r="O834" s="1477" t="s">
        <v>1673</v>
      </c>
      <c r="P834" s="1477" t="s">
        <v>1307</v>
      </c>
      <c r="Q834" s="1495" t="s">
        <v>1454</v>
      </c>
    </row>
    <row r="835" spans="1:17" s="373" customFormat="1" ht="15.75" thickBot="1">
      <c r="A835" s="1543"/>
      <c r="B835" s="1545"/>
      <c r="C835" s="1539"/>
      <c r="D835" s="1539"/>
      <c r="E835" s="1539"/>
      <c r="F835" s="1473"/>
      <c r="G835" s="1510"/>
      <c r="H835" s="1478"/>
      <c r="I835" s="1473"/>
      <c r="J835" s="1473"/>
      <c r="K835" s="1473"/>
      <c r="L835" s="570" t="s">
        <v>805</v>
      </c>
      <c r="M835" s="570" t="s">
        <v>805</v>
      </c>
      <c r="N835" s="753" t="s">
        <v>1149</v>
      </c>
      <c r="O835" s="1478"/>
      <c r="P835" s="1478"/>
      <c r="Q835" s="1496"/>
    </row>
    <row r="836" spans="1:17" s="373" customFormat="1" ht="30">
      <c r="A836" s="1485" t="s">
        <v>653</v>
      </c>
      <c r="B836" s="1715" t="s">
        <v>653</v>
      </c>
      <c r="C836" s="1715" t="s">
        <v>653</v>
      </c>
      <c r="D836" s="1610">
        <f>D807</f>
        <v>9955</v>
      </c>
      <c r="E836" s="1610">
        <f>1.15*D836</f>
        <v>11448.25</v>
      </c>
      <c r="F836" s="1466" t="s">
        <v>325</v>
      </c>
      <c r="G836" s="423" t="s">
        <v>771</v>
      </c>
      <c r="H836" s="414" t="s">
        <v>160</v>
      </c>
      <c r="I836" s="756">
        <v>6000</v>
      </c>
      <c r="J836" s="756">
        <f>'preturi unitare'!H40</f>
        <v>154</v>
      </c>
      <c r="K836" s="756">
        <f>I836*J836</f>
        <v>924000</v>
      </c>
      <c r="L836" s="411">
        <f>K836</f>
        <v>924000</v>
      </c>
      <c r="M836" s="411">
        <v>0</v>
      </c>
      <c r="N836" s="756">
        <v>0</v>
      </c>
      <c r="O836" s="1465">
        <f>L843</f>
        <v>2156000</v>
      </c>
      <c r="P836" s="1465">
        <f>O836/D836</f>
        <v>216.57458563535911</v>
      </c>
      <c r="Q836" s="1497" t="s">
        <v>1635</v>
      </c>
    </row>
    <row r="837" spans="1:17" s="373" customFormat="1" ht="30">
      <c r="A837" s="1485"/>
      <c r="B837" s="1587"/>
      <c r="C837" s="1587"/>
      <c r="D837" s="1628"/>
      <c r="E837" s="1628"/>
      <c r="F837" s="1467"/>
      <c r="G837" s="423" t="s">
        <v>2098</v>
      </c>
      <c r="H837" s="1302" t="s">
        <v>160</v>
      </c>
      <c r="I837" s="1299">
        <v>5000</v>
      </c>
      <c r="J837" s="1299">
        <f>J836</f>
        <v>154</v>
      </c>
      <c r="K837" s="1299">
        <f>I837*J837</f>
        <v>770000</v>
      </c>
      <c r="L837" s="411">
        <f>K837</f>
        <v>770000</v>
      </c>
      <c r="M837" s="411">
        <v>0</v>
      </c>
      <c r="N837" s="1299">
        <v>0</v>
      </c>
      <c r="O837" s="1465"/>
      <c r="P837" s="1465"/>
      <c r="Q837" s="1646"/>
    </row>
    <row r="838" spans="1:17" s="373" customFormat="1" ht="30">
      <c r="A838" s="1485"/>
      <c r="B838" s="1587"/>
      <c r="C838" s="1587"/>
      <c r="D838" s="1628"/>
      <c r="E838" s="1628"/>
      <c r="F838" s="1468"/>
      <c r="G838" s="423" t="s">
        <v>2102</v>
      </c>
      <c r="H838" s="1315" t="s">
        <v>160</v>
      </c>
      <c r="I838" s="1311">
        <v>3000</v>
      </c>
      <c r="J838" s="1311">
        <f>J837</f>
        <v>154</v>
      </c>
      <c r="K838" s="1311">
        <f>I838*J838</f>
        <v>462000</v>
      </c>
      <c r="L838" s="411">
        <f>K838</f>
        <v>462000</v>
      </c>
      <c r="M838" s="411">
        <v>0</v>
      </c>
      <c r="N838" s="1311">
        <v>0</v>
      </c>
      <c r="O838" s="1465"/>
      <c r="P838" s="1465"/>
      <c r="Q838" s="1646"/>
    </row>
    <row r="839" spans="1:17" s="373" customFormat="1" ht="30">
      <c r="A839" s="1486"/>
      <c r="B839" s="1487"/>
      <c r="C839" s="1487"/>
      <c r="D839" s="1607"/>
      <c r="E839" s="1607"/>
      <c r="F839" s="1192" t="s">
        <v>325</v>
      </c>
      <c r="G839" s="362" t="s">
        <v>772</v>
      </c>
      <c r="H839" s="807" t="s">
        <v>160</v>
      </c>
      <c r="I839" s="776">
        <v>5000</v>
      </c>
      <c r="J839" s="776">
        <f>J836</f>
        <v>154</v>
      </c>
      <c r="K839" s="776">
        <f>I839*J839</f>
        <v>770000</v>
      </c>
      <c r="L839" s="410">
        <v>0</v>
      </c>
      <c r="M839" s="410">
        <v>0</v>
      </c>
      <c r="N839" s="776">
        <f>K839</f>
        <v>770000</v>
      </c>
      <c r="O839" s="1482"/>
      <c r="P839" s="1482"/>
      <c r="Q839" s="1498"/>
    </row>
    <row r="840" spans="1:17" s="373" customFormat="1" ht="30">
      <c r="A840" s="1486"/>
      <c r="B840" s="1180" t="s">
        <v>1451</v>
      </c>
      <c r="C840" s="1180" t="s">
        <v>1977</v>
      </c>
      <c r="D840" s="1181">
        <v>372</v>
      </c>
      <c r="E840" s="1181">
        <f>D840</f>
        <v>372</v>
      </c>
      <c r="F840" s="1192" t="s">
        <v>325</v>
      </c>
      <c r="G840" s="362" t="s">
        <v>773</v>
      </c>
      <c r="H840" s="807" t="s">
        <v>160</v>
      </c>
      <c r="I840" s="776">
        <v>6000</v>
      </c>
      <c r="J840" s="776">
        <f>J839</f>
        <v>154</v>
      </c>
      <c r="K840" s="776">
        <f>J840*I840</f>
        <v>924000</v>
      </c>
      <c r="L840" s="410">
        <v>0</v>
      </c>
      <c r="M840" s="410">
        <v>0</v>
      </c>
      <c r="N840" s="776">
        <f>K840</f>
        <v>924000</v>
      </c>
      <c r="O840" s="1482"/>
      <c r="P840" s="1482"/>
      <c r="Q840" s="1498"/>
    </row>
    <row r="841" spans="1:17" s="373" customFormat="1" ht="30">
      <c r="A841" s="1486"/>
      <c r="B841" s="1180" t="s">
        <v>1451</v>
      </c>
      <c r="C841" s="1180" t="s">
        <v>1978</v>
      </c>
      <c r="D841" s="1181">
        <v>506</v>
      </c>
      <c r="E841" s="1181">
        <f>D841</f>
        <v>506</v>
      </c>
      <c r="F841" s="1192" t="s">
        <v>325</v>
      </c>
      <c r="G841" s="362" t="s">
        <v>881</v>
      </c>
      <c r="H841" s="807" t="s">
        <v>160</v>
      </c>
      <c r="I841" s="776">
        <v>4000</v>
      </c>
      <c r="J841" s="776">
        <f>J840</f>
        <v>154</v>
      </c>
      <c r="K841" s="776">
        <f>I841*J841</f>
        <v>616000</v>
      </c>
      <c r="L841" s="334">
        <v>0</v>
      </c>
      <c r="M841" s="334">
        <v>0</v>
      </c>
      <c r="N841" s="776">
        <f>K841</f>
        <v>616000</v>
      </c>
      <c r="O841" s="1482"/>
      <c r="P841" s="1482"/>
      <c r="Q841" s="1499"/>
    </row>
    <row r="842" spans="1:17" s="373" customFormat="1">
      <c r="A842" s="885"/>
      <c r="B842" s="761"/>
      <c r="C842" s="761"/>
      <c r="D842" s="761"/>
      <c r="E842" s="761"/>
      <c r="F842" s="762"/>
      <c r="G842" s="384"/>
      <c r="H842" s="776"/>
      <c r="I842" s="776"/>
      <c r="J842" s="776"/>
      <c r="K842" s="776"/>
      <c r="L842" s="334"/>
      <c r="M842" s="334"/>
      <c r="N842" s="326"/>
      <c r="O842" s="387"/>
      <c r="P842" s="387"/>
      <c r="Q842" s="584"/>
    </row>
    <row r="843" spans="1:17" s="373" customFormat="1">
      <c r="A843" s="1532" t="s">
        <v>2012</v>
      </c>
      <c r="B843" s="1533"/>
      <c r="C843" s="1533"/>
      <c r="D843" s="1533"/>
      <c r="E843" s="1533"/>
      <c r="F843" s="1533"/>
      <c r="G843" s="1534"/>
      <c r="H843" s="364"/>
      <c r="I843" s="364"/>
      <c r="J843" s="364"/>
      <c r="K843" s="364">
        <f>SUM(K836:K841)</f>
        <v>4466000</v>
      </c>
      <c r="L843" s="365">
        <f>SUM(L836:L841)</f>
        <v>2156000</v>
      </c>
      <c r="M843" s="365">
        <f>SUM(M836:M841)</f>
        <v>0</v>
      </c>
      <c r="N843" s="364">
        <f>SUM(N836:N841)</f>
        <v>2310000</v>
      </c>
      <c r="O843" s="415"/>
      <c r="P843" s="387"/>
      <c r="Q843" s="584"/>
    </row>
    <row r="844" spans="1:17" s="373" customFormat="1">
      <c r="A844" s="885"/>
      <c r="B844" s="782"/>
      <c r="C844" s="782"/>
      <c r="D844" s="782"/>
      <c r="E844" s="782"/>
      <c r="F844" s="762"/>
      <c r="G844" s="328"/>
      <c r="H844" s="776"/>
      <c r="I844" s="776"/>
      <c r="J844" s="776"/>
      <c r="K844" s="776"/>
      <c r="L844" s="334"/>
      <c r="M844" s="334"/>
      <c r="N844" s="776"/>
      <c r="O844" s="387"/>
      <c r="P844" s="387"/>
      <c r="Q844" s="584"/>
    </row>
    <row r="845" spans="1:17" s="373" customFormat="1" ht="15" customHeight="1" thickBot="1">
      <c r="A845" s="1666" t="s">
        <v>461</v>
      </c>
      <c r="B845" s="1667"/>
      <c r="C845" s="1667"/>
      <c r="D845" s="1667"/>
      <c r="E845" s="1667"/>
      <c r="F845" s="1667"/>
      <c r="G845" s="1668"/>
      <c r="H845" s="590"/>
      <c r="I845" s="590"/>
      <c r="J845" s="590"/>
      <c r="K845" s="591">
        <f>K832+K843</f>
        <v>11783940</v>
      </c>
      <c r="L845" s="583">
        <f>L832+L843</f>
        <v>6788940</v>
      </c>
      <c r="M845" s="583">
        <f>M832+M843</f>
        <v>955000</v>
      </c>
      <c r="N845" s="591">
        <f>N832+N843</f>
        <v>4040000</v>
      </c>
      <c r="O845" s="580"/>
      <c r="P845" s="580"/>
      <c r="Q845" s="927"/>
    </row>
    <row r="846" spans="1:17" s="373" customFormat="1" ht="15.75" thickBot="1">
      <c r="A846" s="876"/>
      <c r="B846" s="899"/>
      <c r="C846" s="899"/>
      <c r="D846" s="899"/>
      <c r="E846" s="899"/>
      <c r="F846" s="900"/>
      <c r="G846" s="897"/>
      <c r="H846" s="901"/>
      <c r="I846" s="900"/>
      <c r="J846" s="900"/>
      <c r="K846" s="900"/>
      <c r="L846" s="902"/>
      <c r="M846" s="902"/>
      <c r="N846" s="900"/>
      <c r="O846" s="876"/>
      <c r="P846" s="876"/>
      <c r="Q846" s="876"/>
    </row>
    <row r="847" spans="1:17" s="373" customFormat="1" ht="15.75" thickBot="1">
      <c r="A847" s="882"/>
      <c r="B847" s="638"/>
      <c r="C847" s="638"/>
      <c r="D847" s="638"/>
      <c r="E847" s="638"/>
      <c r="F847" s="846"/>
      <c r="G847" s="577" t="s">
        <v>1905</v>
      </c>
      <c r="H847" s="872"/>
      <c r="I847" s="873"/>
      <c r="J847" s="853"/>
      <c r="K847" s="638"/>
      <c r="L847" s="712"/>
      <c r="M847" s="638"/>
      <c r="N847" s="638"/>
      <c r="O847" s="853"/>
      <c r="P847" s="853"/>
      <c r="Q847" s="883"/>
    </row>
    <row r="848" spans="1:17" s="373" customFormat="1" ht="15.75" thickBot="1">
      <c r="A848" s="884"/>
      <c r="B848" s="421"/>
      <c r="C848" s="421"/>
      <c r="D848" s="421"/>
      <c r="E848" s="421"/>
      <c r="F848" s="356"/>
      <c r="G848" s="585"/>
      <c r="H848" s="371"/>
      <c r="I848" s="371"/>
      <c r="J848" s="371"/>
      <c r="K848" s="371"/>
      <c r="L848" s="371"/>
      <c r="M848" s="371"/>
      <c r="N848" s="371"/>
      <c r="O848" s="419"/>
      <c r="P848" s="419"/>
      <c r="Q848" s="862"/>
    </row>
    <row r="849" spans="1:19" s="373" customFormat="1" ht="60" customHeight="1">
      <c r="A849" s="1562" t="s">
        <v>1452</v>
      </c>
      <c r="B849" s="1538" t="s">
        <v>676</v>
      </c>
      <c r="C849" s="1564" t="s">
        <v>610</v>
      </c>
      <c r="D849" s="1538" t="s">
        <v>611</v>
      </c>
      <c r="E849" s="1538" t="s">
        <v>1453</v>
      </c>
      <c r="F849" s="1472" t="s">
        <v>159</v>
      </c>
      <c r="G849" s="1509" t="s">
        <v>110</v>
      </c>
      <c r="H849" s="1477" t="s">
        <v>316</v>
      </c>
      <c r="I849" s="1472" t="s">
        <v>315</v>
      </c>
      <c r="J849" s="1472" t="s">
        <v>317</v>
      </c>
      <c r="K849" s="1472" t="s">
        <v>318</v>
      </c>
      <c r="L849" s="569" t="s">
        <v>1443</v>
      </c>
      <c r="M849" s="569" t="s">
        <v>1444</v>
      </c>
      <c r="N849" s="752" t="s">
        <v>1445</v>
      </c>
      <c r="O849" s="1477" t="s">
        <v>1673</v>
      </c>
      <c r="P849" s="1477" t="s">
        <v>1307</v>
      </c>
      <c r="Q849" s="1495" t="s">
        <v>1454</v>
      </c>
    </row>
    <row r="850" spans="1:19" s="373" customFormat="1" ht="15.75" thickBot="1">
      <c r="A850" s="1563"/>
      <c r="B850" s="1539"/>
      <c r="C850" s="1565"/>
      <c r="D850" s="1539"/>
      <c r="E850" s="1539"/>
      <c r="F850" s="1473"/>
      <c r="G850" s="1510"/>
      <c r="H850" s="1478"/>
      <c r="I850" s="1473"/>
      <c r="J850" s="1473"/>
      <c r="K850" s="1473"/>
      <c r="L850" s="570" t="s">
        <v>805</v>
      </c>
      <c r="M850" s="570" t="s">
        <v>805</v>
      </c>
      <c r="N850" s="753" t="s">
        <v>1149</v>
      </c>
      <c r="O850" s="1478"/>
      <c r="P850" s="1478"/>
      <c r="Q850" s="1496"/>
    </row>
    <row r="851" spans="1:19" s="373" customFormat="1" ht="62.25">
      <c r="A851" s="929" t="s">
        <v>1488</v>
      </c>
      <c r="B851" s="765" t="s">
        <v>1489</v>
      </c>
      <c r="C851" s="759" t="s">
        <v>620</v>
      </c>
      <c r="D851" s="759" t="s">
        <v>621</v>
      </c>
      <c r="E851" s="759" t="s">
        <v>1451</v>
      </c>
      <c r="F851" s="757" t="s">
        <v>279</v>
      </c>
      <c r="G851" s="412" t="s">
        <v>572</v>
      </c>
      <c r="H851" s="422" t="s">
        <v>280</v>
      </c>
      <c r="I851" s="414">
        <v>1</v>
      </c>
      <c r="J851" s="422">
        <f>'preturi unitare'!E26</f>
        <v>36500</v>
      </c>
      <c r="K851" s="422">
        <f>I851*J851</f>
        <v>36500</v>
      </c>
      <c r="L851" s="835">
        <f>K851</f>
        <v>36500</v>
      </c>
      <c r="M851" s="422">
        <v>0</v>
      </c>
      <c r="N851" s="422">
        <v>0</v>
      </c>
      <c r="O851" s="756">
        <f>L851</f>
        <v>36500</v>
      </c>
      <c r="P851" s="756">
        <f>O851/D851</f>
        <v>44.621026894865523</v>
      </c>
      <c r="Q851" s="1008" t="s">
        <v>1451</v>
      </c>
    </row>
    <row r="852" spans="1:19" s="373" customFormat="1">
      <c r="A852" s="885"/>
      <c r="B852" s="326"/>
      <c r="C852" s="326"/>
      <c r="D852" s="326"/>
      <c r="E852" s="326"/>
      <c r="F852" s="326"/>
      <c r="G852" s="326"/>
      <c r="H852" s="326"/>
      <c r="I852" s="776"/>
      <c r="J852" s="776"/>
      <c r="K852" s="776"/>
      <c r="L852" s="334"/>
      <c r="M852" s="334"/>
      <c r="N852" s="326"/>
      <c r="O852" s="387"/>
      <c r="P852" s="387"/>
      <c r="Q852" s="584"/>
    </row>
    <row r="853" spans="1:19" s="373" customFormat="1">
      <c r="A853" s="1733" t="s">
        <v>448</v>
      </c>
      <c r="B853" s="1734"/>
      <c r="C853" s="1734"/>
      <c r="D853" s="1734"/>
      <c r="E853" s="1734"/>
      <c r="F853" s="1734"/>
      <c r="G853" s="1735"/>
      <c r="H853" s="571"/>
      <c r="I853" s="572"/>
      <c r="J853" s="572"/>
      <c r="K853" s="573">
        <f>K851</f>
        <v>36500</v>
      </c>
      <c r="L853" s="574">
        <f>L851</f>
        <v>36500</v>
      </c>
      <c r="M853" s="574">
        <f>M851</f>
        <v>0</v>
      </c>
      <c r="N853" s="573">
        <f>N851</f>
        <v>0</v>
      </c>
      <c r="O853" s="415"/>
      <c r="P853" s="387"/>
      <c r="Q853" s="584"/>
      <c r="S853" s="374"/>
    </row>
    <row r="854" spans="1:19" s="373" customFormat="1">
      <c r="A854" s="885"/>
      <c r="B854" s="809"/>
      <c r="C854" s="809"/>
      <c r="D854" s="809"/>
      <c r="E854" s="809"/>
      <c r="F854" s="810"/>
      <c r="G854" s="811"/>
      <c r="H854" s="572"/>
      <c r="I854" s="572"/>
      <c r="J854" s="572"/>
      <c r="K854" s="572"/>
      <c r="L854" s="573"/>
      <c r="M854" s="573"/>
      <c r="N854" s="571"/>
      <c r="O854" s="387"/>
      <c r="P854" s="387"/>
      <c r="Q854" s="584"/>
    </row>
    <row r="855" spans="1:19" s="373" customFormat="1" ht="15" customHeight="1" thickBot="1">
      <c r="A855" s="1666" t="s">
        <v>449</v>
      </c>
      <c r="B855" s="1667"/>
      <c r="C855" s="1667"/>
      <c r="D855" s="1667"/>
      <c r="E855" s="1667"/>
      <c r="F855" s="1667"/>
      <c r="G855" s="1668"/>
      <c r="H855" s="590"/>
      <c r="I855" s="590"/>
      <c r="J855" s="590"/>
      <c r="K855" s="591">
        <f>K853</f>
        <v>36500</v>
      </c>
      <c r="L855" s="583">
        <f>L853</f>
        <v>36500</v>
      </c>
      <c r="M855" s="583">
        <f>M853</f>
        <v>0</v>
      </c>
      <c r="N855" s="591">
        <f>N853</f>
        <v>0</v>
      </c>
      <c r="O855" s="924"/>
      <c r="P855" s="580"/>
      <c r="Q855" s="886"/>
    </row>
    <row r="856" spans="1:19" s="330" customFormat="1" ht="15.75" thickBot="1">
      <c r="A856" s="930"/>
      <c r="B856" s="890"/>
      <c r="C856" s="890"/>
      <c r="D856" s="890"/>
      <c r="E856" s="890"/>
      <c r="F856" s="594"/>
      <c r="G856" s="594"/>
      <c r="H856" s="732"/>
      <c r="I856" s="732"/>
      <c r="J856" s="732"/>
      <c r="K856" s="575"/>
      <c r="L856" s="426"/>
      <c r="M856" s="426"/>
      <c r="N856" s="575"/>
      <c r="O856" s="930"/>
      <c r="P856" s="930"/>
      <c r="Q856" s="930"/>
    </row>
    <row r="857" spans="1:19" s="330" customFormat="1" ht="15.75" thickBot="1">
      <c r="A857" s="932"/>
      <c r="B857" s="638"/>
      <c r="C857" s="638"/>
      <c r="D857" s="638"/>
      <c r="E857" s="638"/>
      <c r="F857" s="846"/>
      <c r="G857" s="577" t="s">
        <v>1906</v>
      </c>
      <c r="H857" s="872"/>
      <c r="I857" s="873"/>
      <c r="J857" s="933"/>
      <c r="K857" s="638"/>
      <c r="L857" s="845"/>
      <c r="M857" s="845"/>
      <c r="N857" s="638"/>
      <c r="O857" s="933"/>
      <c r="P857" s="933"/>
      <c r="Q857" s="934"/>
    </row>
    <row r="858" spans="1:19" s="330" customFormat="1" ht="15.75" thickBot="1">
      <c r="A858" s="935"/>
      <c r="B858" s="371"/>
      <c r="C858" s="371"/>
      <c r="D858" s="371"/>
      <c r="E858" s="371"/>
      <c r="F858" s="356"/>
      <c r="G858" s="585"/>
      <c r="H858" s="428"/>
      <c r="I858" s="428"/>
      <c r="J858" s="428"/>
      <c r="K858" s="371"/>
      <c r="L858" s="372"/>
      <c r="M858" s="372"/>
      <c r="N858" s="371"/>
      <c r="O858" s="930"/>
      <c r="P858" s="930"/>
      <c r="Q858" s="936"/>
    </row>
    <row r="859" spans="1:19" s="382" customFormat="1" ht="60" customHeight="1">
      <c r="A859" s="1542" t="s">
        <v>632</v>
      </c>
      <c r="B859" s="1544" t="s">
        <v>617</v>
      </c>
      <c r="C859" s="1538" t="s">
        <v>610</v>
      </c>
      <c r="D859" s="1538" t="s">
        <v>611</v>
      </c>
      <c r="E859" s="1538" t="s">
        <v>1453</v>
      </c>
      <c r="F859" s="1472" t="s">
        <v>159</v>
      </c>
      <c r="G859" s="1509" t="s">
        <v>110</v>
      </c>
      <c r="H859" s="1477" t="s">
        <v>316</v>
      </c>
      <c r="I859" s="1472" t="s">
        <v>315</v>
      </c>
      <c r="J859" s="1472" t="s">
        <v>317</v>
      </c>
      <c r="K859" s="1472" t="s">
        <v>318</v>
      </c>
      <c r="L859" s="569" t="s">
        <v>1443</v>
      </c>
      <c r="M859" s="569" t="s">
        <v>1444</v>
      </c>
      <c r="N859" s="752" t="s">
        <v>1445</v>
      </c>
      <c r="O859" s="1477" t="s">
        <v>1673</v>
      </c>
      <c r="P859" s="1477" t="s">
        <v>1307</v>
      </c>
      <c r="Q859" s="1495" t="s">
        <v>1454</v>
      </c>
    </row>
    <row r="860" spans="1:19" s="382" customFormat="1" ht="15.75" thickBot="1">
      <c r="A860" s="1543"/>
      <c r="B860" s="1545"/>
      <c r="C860" s="1539"/>
      <c r="D860" s="1539"/>
      <c r="E860" s="1539"/>
      <c r="F860" s="1473"/>
      <c r="G860" s="1510"/>
      <c r="H860" s="1478"/>
      <c r="I860" s="1473"/>
      <c r="J860" s="1473"/>
      <c r="K860" s="1473"/>
      <c r="L860" s="570" t="s">
        <v>805</v>
      </c>
      <c r="M860" s="570" t="s">
        <v>805</v>
      </c>
      <c r="N860" s="753" t="s">
        <v>1149</v>
      </c>
      <c r="O860" s="1478"/>
      <c r="P860" s="1478"/>
      <c r="Q860" s="1496"/>
    </row>
    <row r="861" spans="1:19" s="373" customFormat="1" ht="30">
      <c r="A861" s="1616" t="s">
        <v>635</v>
      </c>
      <c r="B861" s="1491" t="s">
        <v>1451</v>
      </c>
      <c r="C861" s="1575" t="s">
        <v>635</v>
      </c>
      <c r="D861" s="1575" t="s">
        <v>2073</v>
      </c>
      <c r="E861" s="1750">
        <v>930</v>
      </c>
      <c r="F861" s="1294" t="s">
        <v>323</v>
      </c>
      <c r="G861" s="1295" t="s">
        <v>2075</v>
      </c>
      <c r="H861" s="1260" t="s">
        <v>280</v>
      </c>
      <c r="I861" s="1274">
        <v>1</v>
      </c>
      <c r="J861" s="1274">
        <f>'preturi unitare'!O29</f>
        <v>165500</v>
      </c>
      <c r="K861" s="1274">
        <f t="shared" ref="K861:K869" si="74">I861*J861</f>
        <v>165500</v>
      </c>
      <c r="L861" s="1086">
        <v>0</v>
      </c>
      <c r="M861" s="1086">
        <f t="shared" ref="M861:M873" si="75">K861</f>
        <v>165500</v>
      </c>
      <c r="N861" s="1274">
        <v>0</v>
      </c>
      <c r="O861" s="1596">
        <f>SUM(M861:M863)</f>
        <v>1936982</v>
      </c>
      <c r="P861" s="1596">
        <f>O861/E861</f>
        <v>2082.7763440860217</v>
      </c>
      <c r="Q861" s="1643" t="s">
        <v>2089</v>
      </c>
    </row>
    <row r="862" spans="1:19" s="373" customFormat="1" ht="30">
      <c r="A862" s="1617"/>
      <c r="B862" s="1492"/>
      <c r="C862" s="1576"/>
      <c r="D862" s="1576"/>
      <c r="E862" s="1751"/>
      <c r="F862" s="1278" t="s">
        <v>324</v>
      </c>
      <c r="G862" s="1293" t="s">
        <v>764</v>
      </c>
      <c r="H862" s="1277" t="s">
        <v>280</v>
      </c>
      <c r="I862" s="1275">
        <v>2</v>
      </c>
      <c r="J862" s="1275">
        <f>'preturi unitare'!B32</f>
        <v>67000</v>
      </c>
      <c r="K862" s="1275">
        <f t="shared" si="74"/>
        <v>134000</v>
      </c>
      <c r="L862" s="401">
        <v>0</v>
      </c>
      <c r="M862" s="401">
        <f t="shared" si="75"/>
        <v>134000</v>
      </c>
      <c r="N862" s="1275">
        <v>0</v>
      </c>
      <c r="O862" s="1597"/>
      <c r="P862" s="1597"/>
      <c r="Q862" s="1644"/>
    </row>
    <row r="863" spans="1:19" s="373" customFormat="1" ht="30">
      <c r="A863" s="1617"/>
      <c r="B863" s="1492"/>
      <c r="C863" s="1576"/>
      <c r="D863" s="1576"/>
      <c r="E863" s="1751"/>
      <c r="F863" s="1278" t="s">
        <v>325</v>
      </c>
      <c r="G863" s="1292" t="s">
        <v>2074</v>
      </c>
      <c r="H863" s="1277" t="s">
        <v>160</v>
      </c>
      <c r="I863" s="1275">
        <v>10633</v>
      </c>
      <c r="J863" s="1275">
        <f>'preturi unitare'!H40</f>
        <v>154</v>
      </c>
      <c r="K863" s="1275">
        <f t="shared" si="74"/>
        <v>1637482</v>
      </c>
      <c r="L863" s="401">
        <v>0</v>
      </c>
      <c r="M863" s="401">
        <f t="shared" si="75"/>
        <v>1637482</v>
      </c>
      <c r="N863" s="1275">
        <v>0</v>
      </c>
      <c r="O863" s="1597"/>
      <c r="P863" s="1597"/>
      <c r="Q863" s="1644"/>
    </row>
    <row r="864" spans="1:19" s="373" customFormat="1" ht="30">
      <c r="A864" s="1617"/>
      <c r="B864" s="1492" t="s">
        <v>1451</v>
      </c>
      <c r="C864" s="1576" t="s">
        <v>2076</v>
      </c>
      <c r="D864" s="1576" t="s">
        <v>2077</v>
      </c>
      <c r="E864" s="1576" t="s">
        <v>2077</v>
      </c>
      <c r="F864" s="1278" t="s">
        <v>323</v>
      </c>
      <c r="G864" s="1293" t="s">
        <v>2078</v>
      </c>
      <c r="H864" s="1277" t="s">
        <v>280</v>
      </c>
      <c r="I864" s="1275">
        <v>1</v>
      </c>
      <c r="J864" s="1275">
        <f>'preturi unitare'!O27</f>
        <v>106500</v>
      </c>
      <c r="K864" s="1275">
        <f t="shared" si="74"/>
        <v>106500</v>
      </c>
      <c r="L864" s="401">
        <v>0</v>
      </c>
      <c r="M864" s="401">
        <f t="shared" si="75"/>
        <v>106500</v>
      </c>
      <c r="N864" s="1275">
        <v>0</v>
      </c>
      <c r="O864" s="1597">
        <f>SUM(M864:M865)</f>
        <v>1099492</v>
      </c>
      <c r="P864" s="1597">
        <f>O864/E864</f>
        <v>1866.7096774193549</v>
      </c>
      <c r="Q864" s="1645" t="s">
        <v>2090</v>
      </c>
    </row>
    <row r="865" spans="1:17" s="373" customFormat="1" ht="30">
      <c r="A865" s="1617"/>
      <c r="B865" s="1492"/>
      <c r="C865" s="1576"/>
      <c r="D865" s="1576"/>
      <c r="E865" s="1576"/>
      <c r="F865" s="1278" t="s">
        <v>325</v>
      </c>
      <c r="G865" s="1292" t="s">
        <v>2079</v>
      </c>
      <c r="H865" s="1277" t="s">
        <v>160</v>
      </c>
      <c r="I865" s="1275">
        <v>6448</v>
      </c>
      <c r="J865" s="1275">
        <f>J863</f>
        <v>154</v>
      </c>
      <c r="K865" s="1275">
        <f t="shared" si="74"/>
        <v>992992</v>
      </c>
      <c r="L865" s="401">
        <v>0</v>
      </c>
      <c r="M865" s="401">
        <f t="shared" si="75"/>
        <v>992992</v>
      </c>
      <c r="N865" s="1275">
        <v>0</v>
      </c>
      <c r="O865" s="1597"/>
      <c r="P865" s="1597"/>
      <c r="Q865" s="1644"/>
    </row>
    <row r="866" spans="1:17" s="373" customFormat="1" ht="30">
      <c r="A866" s="1617"/>
      <c r="B866" s="1492" t="s">
        <v>1451</v>
      </c>
      <c r="C866" s="1576" t="s">
        <v>2080</v>
      </c>
      <c r="D866" s="1576" t="s">
        <v>2081</v>
      </c>
      <c r="E866" s="1576" t="s">
        <v>2081</v>
      </c>
      <c r="F866" s="1278" t="s">
        <v>323</v>
      </c>
      <c r="G866" s="1293" t="s">
        <v>2083</v>
      </c>
      <c r="H866" s="1277" t="s">
        <v>280</v>
      </c>
      <c r="I866" s="1275">
        <v>1</v>
      </c>
      <c r="J866" s="1275">
        <f>'preturi unitare'!O25</f>
        <v>92000</v>
      </c>
      <c r="K866" s="1275">
        <f t="shared" si="74"/>
        <v>92000</v>
      </c>
      <c r="L866" s="401">
        <v>0</v>
      </c>
      <c r="M866" s="401">
        <f t="shared" si="75"/>
        <v>92000</v>
      </c>
      <c r="N866" s="1275">
        <v>0</v>
      </c>
      <c r="O866" s="1597">
        <f>SUM(M866:M867)</f>
        <v>895264</v>
      </c>
      <c r="P866" s="1597">
        <f>O866/E866</f>
        <v>2565.2263610315185</v>
      </c>
      <c r="Q866" s="1645" t="s">
        <v>2091</v>
      </c>
    </row>
    <row r="867" spans="1:17" s="373" customFormat="1" ht="30">
      <c r="A867" s="1617"/>
      <c r="B867" s="1492"/>
      <c r="C867" s="1576"/>
      <c r="D867" s="1576"/>
      <c r="E867" s="1576"/>
      <c r="F867" s="1278" t="s">
        <v>325</v>
      </c>
      <c r="G867" s="1292" t="s">
        <v>2082</v>
      </c>
      <c r="H867" s="1277" t="s">
        <v>160</v>
      </c>
      <c r="I867" s="1275">
        <v>5216</v>
      </c>
      <c r="J867" s="1275">
        <f>J865</f>
        <v>154</v>
      </c>
      <c r="K867" s="1275">
        <f t="shared" si="74"/>
        <v>803264</v>
      </c>
      <c r="L867" s="401">
        <v>0</v>
      </c>
      <c r="M867" s="401">
        <f t="shared" si="75"/>
        <v>803264</v>
      </c>
      <c r="N867" s="1275">
        <v>0</v>
      </c>
      <c r="O867" s="1597"/>
      <c r="P867" s="1597"/>
      <c r="Q867" s="1644"/>
    </row>
    <row r="868" spans="1:17" s="373" customFormat="1" ht="30">
      <c r="A868" s="1617"/>
      <c r="B868" s="1492" t="s">
        <v>1451</v>
      </c>
      <c r="C868" s="1576" t="s">
        <v>2084</v>
      </c>
      <c r="D868" s="1576" t="s">
        <v>2085</v>
      </c>
      <c r="E868" s="1576" t="s">
        <v>2085</v>
      </c>
      <c r="F868" s="1278" t="s">
        <v>323</v>
      </c>
      <c r="G868" s="1293" t="s">
        <v>2086</v>
      </c>
      <c r="H868" s="1277" t="s">
        <v>280</v>
      </c>
      <c r="I868" s="1275">
        <v>1</v>
      </c>
      <c r="J868" s="1275">
        <f>'preturi unitare'!O24</f>
        <v>82000</v>
      </c>
      <c r="K868" s="1275">
        <f t="shared" si="74"/>
        <v>82000</v>
      </c>
      <c r="L868" s="401">
        <v>0</v>
      </c>
      <c r="M868" s="401">
        <f t="shared" si="75"/>
        <v>82000</v>
      </c>
      <c r="N868" s="1275">
        <v>0</v>
      </c>
      <c r="O868" s="1597">
        <f>SUM(M868:M869)</f>
        <v>584964</v>
      </c>
      <c r="P868" s="1597">
        <f>O868/E868</f>
        <v>2134.905109489051</v>
      </c>
      <c r="Q868" s="1645" t="s">
        <v>2092</v>
      </c>
    </row>
    <row r="869" spans="1:17" s="373" customFormat="1" ht="30">
      <c r="A869" s="1617"/>
      <c r="B869" s="1492"/>
      <c r="C869" s="1576"/>
      <c r="D869" s="1576"/>
      <c r="E869" s="1576"/>
      <c r="F869" s="1278" t="s">
        <v>325</v>
      </c>
      <c r="G869" s="1292" t="s">
        <v>2087</v>
      </c>
      <c r="H869" s="1277" t="s">
        <v>160</v>
      </c>
      <c r="I869" s="1275">
        <v>3266</v>
      </c>
      <c r="J869" s="1275">
        <f>J867</f>
        <v>154</v>
      </c>
      <c r="K869" s="1275">
        <f t="shared" si="74"/>
        <v>502964</v>
      </c>
      <c r="L869" s="401">
        <v>0</v>
      </c>
      <c r="M869" s="401">
        <f t="shared" si="75"/>
        <v>502964</v>
      </c>
      <c r="N869" s="1275">
        <v>0</v>
      </c>
      <c r="O869" s="1597"/>
      <c r="P869" s="1597"/>
      <c r="Q869" s="1644"/>
    </row>
    <row r="870" spans="1:17" s="382" customFormat="1" ht="30">
      <c r="A870" s="1617"/>
      <c r="B870" s="1618" t="s">
        <v>1451</v>
      </c>
      <c r="C870" s="1615" t="s">
        <v>637</v>
      </c>
      <c r="D870" s="1594">
        <v>456</v>
      </c>
      <c r="E870" s="1594">
        <f>D870</f>
        <v>456</v>
      </c>
      <c r="F870" s="1278" t="s">
        <v>323</v>
      </c>
      <c r="G870" s="1293" t="s">
        <v>855</v>
      </c>
      <c r="H870" s="389" t="s">
        <v>280</v>
      </c>
      <c r="I870" s="389">
        <v>1</v>
      </c>
      <c r="J870" s="389">
        <f>'preturi unitare'!O25</f>
        <v>92000</v>
      </c>
      <c r="K870" s="389">
        <f>J870</f>
        <v>92000</v>
      </c>
      <c r="L870" s="334">
        <v>0</v>
      </c>
      <c r="M870" s="334">
        <f t="shared" si="75"/>
        <v>92000</v>
      </c>
      <c r="N870" s="389">
        <v>0</v>
      </c>
      <c r="O870" s="1619">
        <f>SUM(M870:M871)</f>
        <v>1023084</v>
      </c>
      <c r="P870" s="1619">
        <f>O870/D870</f>
        <v>2243.6052631578946</v>
      </c>
      <c r="Q870" s="1641" t="s">
        <v>1519</v>
      </c>
    </row>
    <row r="871" spans="1:17" s="382" customFormat="1" ht="30">
      <c r="A871" s="1617"/>
      <c r="B871" s="1618"/>
      <c r="C871" s="1615"/>
      <c r="D871" s="1594"/>
      <c r="E871" s="1594"/>
      <c r="F871" s="1278" t="s">
        <v>325</v>
      </c>
      <c r="G871" s="1292" t="s">
        <v>856</v>
      </c>
      <c r="H871" s="389" t="s">
        <v>160</v>
      </c>
      <c r="I871" s="389">
        <v>6046</v>
      </c>
      <c r="J871" s="389">
        <f>'preturi unitare'!H40</f>
        <v>154</v>
      </c>
      <c r="K871" s="389">
        <f>I871*J871</f>
        <v>931084</v>
      </c>
      <c r="L871" s="399">
        <v>0</v>
      </c>
      <c r="M871" s="334">
        <f t="shared" si="75"/>
        <v>931084</v>
      </c>
      <c r="N871" s="389">
        <v>0</v>
      </c>
      <c r="O871" s="1619"/>
      <c r="P871" s="1619"/>
      <c r="Q871" s="1583"/>
    </row>
    <row r="872" spans="1:17" s="382" customFormat="1" ht="30">
      <c r="A872" s="1617"/>
      <c r="B872" s="1618" t="s">
        <v>1451</v>
      </c>
      <c r="C872" s="1615" t="s">
        <v>636</v>
      </c>
      <c r="D872" s="1594">
        <v>373</v>
      </c>
      <c r="E872" s="1594">
        <f>D872</f>
        <v>373</v>
      </c>
      <c r="F872" s="1278" t="s">
        <v>323</v>
      </c>
      <c r="G872" s="1293" t="s">
        <v>2088</v>
      </c>
      <c r="H872" s="389" t="s">
        <v>280</v>
      </c>
      <c r="I872" s="389">
        <v>1</v>
      </c>
      <c r="J872" s="389">
        <f>'preturi unitare'!O25</f>
        <v>92000</v>
      </c>
      <c r="K872" s="389">
        <f>I872*J872</f>
        <v>92000</v>
      </c>
      <c r="L872" s="334">
        <v>0</v>
      </c>
      <c r="M872" s="334">
        <f t="shared" si="75"/>
        <v>92000</v>
      </c>
      <c r="N872" s="389">
        <v>0</v>
      </c>
      <c r="O872" s="1619">
        <f>SUM(M872:M873)</f>
        <v>1088072</v>
      </c>
      <c r="P872" s="1619">
        <f>O872/D872</f>
        <v>2917.0831099195711</v>
      </c>
      <c r="Q872" s="1581" t="s">
        <v>1520</v>
      </c>
    </row>
    <row r="873" spans="1:17" s="382" customFormat="1" ht="30">
      <c r="A873" s="1617"/>
      <c r="B873" s="1618"/>
      <c r="C873" s="1615"/>
      <c r="D873" s="1594"/>
      <c r="E873" s="1594"/>
      <c r="F873" s="1278" t="s">
        <v>325</v>
      </c>
      <c r="G873" s="1292" t="s">
        <v>856</v>
      </c>
      <c r="H873" s="389" t="s">
        <v>160</v>
      </c>
      <c r="I873" s="389">
        <v>6468</v>
      </c>
      <c r="J873" s="389">
        <f>J871</f>
        <v>154</v>
      </c>
      <c r="K873" s="389">
        <f>I873*J873</f>
        <v>996072</v>
      </c>
      <c r="L873" s="334">
        <v>0</v>
      </c>
      <c r="M873" s="334">
        <f t="shared" si="75"/>
        <v>996072</v>
      </c>
      <c r="N873" s="389">
        <v>0</v>
      </c>
      <c r="O873" s="1619"/>
      <c r="P873" s="1619"/>
      <c r="Q873" s="1574"/>
    </row>
    <row r="874" spans="1:17" s="382" customFormat="1">
      <c r="A874" s="820"/>
      <c r="B874" s="1276"/>
      <c r="C874" s="1276"/>
      <c r="D874" s="1276"/>
      <c r="E874" s="1276"/>
      <c r="F874" s="1272"/>
      <c r="G874" s="384"/>
      <c r="H874" s="807"/>
      <c r="I874" s="807"/>
      <c r="J874" s="807"/>
      <c r="K874" s="807"/>
      <c r="L874" s="334"/>
      <c r="M874" s="334"/>
      <c r="N874" s="807"/>
      <c r="O874" s="405"/>
      <c r="P874" s="405"/>
      <c r="Q874" s="980"/>
    </row>
    <row r="875" spans="1:17">
      <c r="A875" s="1501" t="s">
        <v>343</v>
      </c>
      <c r="B875" s="1502"/>
      <c r="C875" s="1502"/>
      <c r="D875" s="1502"/>
      <c r="E875" s="1502"/>
      <c r="F875" s="1502"/>
      <c r="G875" s="1502"/>
      <c r="H875" s="364"/>
      <c r="I875" s="364"/>
      <c r="J875" s="364"/>
      <c r="K875" s="364">
        <f>SUM(K861:K873)</f>
        <v>6627858</v>
      </c>
      <c r="L875" s="365">
        <f>SUM(L861:L873)</f>
        <v>0</v>
      </c>
      <c r="M875" s="365">
        <f>SUM(M861:M873)</f>
        <v>6627858</v>
      </c>
      <c r="N875" s="364">
        <f>SUM(N870:N872)</f>
        <v>0</v>
      </c>
      <c r="O875" s="415"/>
      <c r="P875" s="387"/>
      <c r="Q875" s="587"/>
    </row>
    <row r="876" spans="1:17">
      <c r="A876" s="820"/>
      <c r="B876" s="1273"/>
      <c r="C876" s="1273"/>
      <c r="D876" s="1273"/>
      <c r="E876" s="1273"/>
      <c r="F876" s="1272"/>
      <c r="G876" s="328"/>
      <c r="H876" s="1270"/>
      <c r="I876" s="1270"/>
      <c r="J876" s="1270"/>
      <c r="K876" s="1270"/>
      <c r="L876" s="334"/>
      <c r="M876" s="334"/>
      <c r="N876" s="1270"/>
      <c r="O876" s="387"/>
      <c r="P876" s="387"/>
      <c r="Q876" s="587"/>
    </row>
    <row r="877" spans="1:17" ht="15" customHeight="1" thickBot="1">
      <c r="A877" s="1737" t="s">
        <v>344</v>
      </c>
      <c r="B877" s="1738"/>
      <c r="C877" s="1738"/>
      <c r="D877" s="1738"/>
      <c r="E877" s="1738"/>
      <c r="F877" s="1738"/>
      <c r="G877" s="1738"/>
      <c r="H877" s="581"/>
      <c r="I877" s="581"/>
      <c r="J877" s="581"/>
      <c r="K877" s="582">
        <f>K875</f>
        <v>6627858</v>
      </c>
      <c r="L877" s="583">
        <f>L875</f>
        <v>0</v>
      </c>
      <c r="M877" s="583">
        <f>M875</f>
        <v>6627858</v>
      </c>
      <c r="N877" s="582">
        <f>N875</f>
        <v>0</v>
      </c>
      <c r="O877" s="580"/>
      <c r="P877" s="580"/>
      <c r="Q877" s="816"/>
    </row>
    <row r="878" spans="1:17" s="363" customFormat="1" ht="15.75" thickBot="1">
      <c r="A878" s="586"/>
      <c r="B878" s="871"/>
      <c r="C878" s="871"/>
      <c r="D878" s="871"/>
      <c r="E878" s="871"/>
      <c r="F878" s="595"/>
      <c r="G878" s="595"/>
      <c r="H878" s="716"/>
      <c r="I878" s="716"/>
      <c r="J878" s="716"/>
      <c r="K878" s="626"/>
      <c r="L878" s="592"/>
      <c r="M878" s="592"/>
      <c r="N878" s="626"/>
      <c r="O878" s="586"/>
      <c r="P878" s="586"/>
      <c r="Q878" s="586"/>
    </row>
    <row r="879" spans="1:17" ht="15.75" thickBot="1">
      <c r="A879" s="859"/>
      <c r="B879" s="639"/>
      <c r="C879" s="639"/>
      <c r="D879" s="639"/>
      <c r="E879" s="639"/>
      <c r="F879" s="846"/>
      <c r="G879" s="577" t="s">
        <v>1907</v>
      </c>
      <c r="H879" s="872"/>
      <c r="I879" s="873"/>
      <c r="J879" s="641"/>
      <c r="K879" s="638"/>
      <c r="L879" s="845"/>
      <c r="M879" s="845"/>
      <c r="N879" s="638"/>
      <c r="O879" s="641"/>
      <c r="P879" s="641"/>
      <c r="Q879" s="642"/>
    </row>
    <row r="880" spans="1:17" s="382" customFormat="1" ht="15.75" thickBot="1">
      <c r="A880" s="833"/>
      <c r="B880" s="358"/>
      <c r="C880" s="358"/>
      <c r="D880" s="358"/>
      <c r="E880" s="358"/>
      <c r="F880" s="356"/>
      <c r="G880" s="576"/>
      <c r="H880" s="428"/>
      <c r="I880" s="428"/>
      <c r="J880" s="428"/>
      <c r="K880" s="371"/>
      <c r="L880" s="372"/>
      <c r="M880" s="372"/>
      <c r="N880" s="371"/>
      <c r="O880" s="406"/>
      <c r="P880" s="406"/>
      <c r="Q880" s="857"/>
    </row>
    <row r="881" spans="1:19" ht="60" customHeight="1">
      <c r="A881" s="1562" t="s">
        <v>1452</v>
      </c>
      <c r="B881" s="1538" t="s">
        <v>676</v>
      </c>
      <c r="C881" s="1564" t="s">
        <v>610</v>
      </c>
      <c r="D881" s="1538" t="s">
        <v>611</v>
      </c>
      <c r="E881" s="1538" t="s">
        <v>1453</v>
      </c>
      <c r="F881" s="1472" t="s">
        <v>159</v>
      </c>
      <c r="G881" s="1509" t="s">
        <v>110</v>
      </c>
      <c r="H881" s="1477" t="s">
        <v>316</v>
      </c>
      <c r="I881" s="1472" t="s">
        <v>315</v>
      </c>
      <c r="J881" s="1472" t="s">
        <v>317</v>
      </c>
      <c r="K881" s="1472" t="s">
        <v>318</v>
      </c>
      <c r="L881" s="569" t="s">
        <v>1443</v>
      </c>
      <c r="M881" s="569" t="s">
        <v>1444</v>
      </c>
      <c r="N881" s="752" t="s">
        <v>1445</v>
      </c>
      <c r="O881" s="1477" t="s">
        <v>1673</v>
      </c>
      <c r="P881" s="1477" t="s">
        <v>1307</v>
      </c>
      <c r="Q881" s="1495" t="s">
        <v>1454</v>
      </c>
    </row>
    <row r="882" spans="1:19" ht="15.75" thickBot="1">
      <c r="A882" s="1563"/>
      <c r="B882" s="1539"/>
      <c r="C882" s="1565"/>
      <c r="D882" s="1539"/>
      <c r="E882" s="1539"/>
      <c r="F882" s="1473"/>
      <c r="G882" s="1510"/>
      <c r="H882" s="1478"/>
      <c r="I882" s="1473"/>
      <c r="J882" s="1473"/>
      <c r="K882" s="1473"/>
      <c r="L882" s="570" t="s">
        <v>805</v>
      </c>
      <c r="M882" s="570" t="s">
        <v>805</v>
      </c>
      <c r="N882" s="753" t="s">
        <v>1149</v>
      </c>
      <c r="O882" s="1478"/>
      <c r="P882" s="1478"/>
      <c r="Q882" s="1496"/>
    </row>
    <row r="883" spans="1:19" s="373" customFormat="1" ht="30">
      <c r="A883" s="1736" t="s">
        <v>1490</v>
      </c>
      <c r="B883" s="1599" t="s">
        <v>612</v>
      </c>
      <c r="C883" s="779" t="s">
        <v>638</v>
      </c>
      <c r="D883" s="764">
        <v>1153</v>
      </c>
      <c r="E883" s="422" t="s">
        <v>1451</v>
      </c>
      <c r="F883" s="757" t="s">
        <v>322</v>
      </c>
      <c r="G883" s="423" t="s">
        <v>345</v>
      </c>
      <c r="H883" s="414" t="s">
        <v>160</v>
      </c>
      <c r="I883" s="756">
        <v>700</v>
      </c>
      <c r="J883" s="756">
        <f>'preturi unitare'!H22</f>
        <v>64</v>
      </c>
      <c r="K883" s="756">
        <f t="shared" ref="K883:K888" si="76">I883*J883</f>
        <v>44800</v>
      </c>
      <c r="L883" s="411">
        <f>K883</f>
        <v>44800</v>
      </c>
      <c r="M883" s="411">
        <v>0</v>
      </c>
      <c r="N883" s="430">
        <v>0</v>
      </c>
      <c r="O883" s="756">
        <f>L883</f>
        <v>44800</v>
      </c>
      <c r="P883" s="756">
        <f>O883/D883</f>
        <v>38.855160450997396</v>
      </c>
      <c r="Q883" s="1497" t="s">
        <v>1637</v>
      </c>
    </row>
    <row r="884" spans="1:19" s="373" customFormat="1" ht="30">
      <c r="A884" s="1568"/>
      <c r="B884" s="1701"/>
      <c r="C884" s="773" t="s">
        <v>639</v>
      </c>
      <c r="D884" s="754">
        <v>1025</v>
      </c>
      <c r="E884" s="653" t="s">
        <v>1451</v>
      </c>
      <c r="F884" s="762" t="s">
        <v>322</v>
      </c>
      <c r="G884" s="362" t="s">
        <v>346</v>
      </c>
      <c r="H884" s="807" t="s">
        <v>160</v>
      </c>
      <c r="I884" s="776">
        <v>500</v>
      </c>
      <c r="J884" s="776">
        <f>J883</f>
        <v>64</v>
      </c>
      <c r="K884" s="776">
        <f t="shared" si="76"/>
        <v>32000</v>
      </c>
      <c r="L884" s="334">
        <f>K884</f>
        <v>32000</v>
      </c>
      <c r="M884" s="334">
        <v>0</v>
      </c>
      <c r="N884" s="385">
        <v>0</v>
      </c>
      <c r="O884" s="776">
        <f>L884</f>
        <v>32000</v>
      </c>
      <c r="P884" s="776">
        <f>O884/D884</f>
        <v>31.219512195121951</v>
      </c>
      <c r="Q884" s="1498"/>
    </row>
    <row r="885" spans="1:19" s="373" customFormat="1" ht="45">
      <c r="A885" s="1568"/>
      <c r="B885" s="1701"/>
      <c r="C885" s="773" t="s">
        <v>641</v>
      </c>
      <c r="D885" s="754">
        <v>982</v>
      </c>
      <c r="E885" s="653" t="s">
        <v>1451</v>
      </c>
      <c r="F885" s="762" t="s">
        <v>322</v>
      </c>
      <c r="G885" s="362" t="s">
        <v>857</v>
      </c>
      <c r="H885" s="807" t="s">
        <v>160</v>
      </c>
      <c r="I885" s="776">
        <v>6500</v>
      </c>
      <c r="J885" s="776">
        <f>J883</f>
        <v>64</v>
      </c>
      <c r="K885" s="776">
        <f t="shared" si="76"/>
        <v>416000</v>
      </c>
      <c r="L885" s="334">
        <f>K885</f>
        <v>416000</v>
      </c>
      <c r="M885" s="334">
        <v>0</v>
      </c>
      <c r="N885" s="385">
        <v>0</v>
      </c>
      <c r="O885" s="776">
        <f>L885</f>
        <v>416000</v>
      </c>
      <c r="P885" s="776">
        <f>O885/D885</f>
        <v>423.62525458248473</v>
      </c>
      <c r="Q885" s="1498"/>
    </row>
    <row r="886" spans="1:19" s="373" customFormat="1" ht="45">
      <c r="A886" s="1568"/>
      <c r="B886" s="1701"/>
      <c r="C886" s="1701" t="s">
        <v>642</v>
      </c>
      <c r="D886" s="1514">
        <v>161</v>
      </c>
      <c r="E886" s="1620" t="s">
        <v>1451</v>
      </c>
      <c r="F886" s="762" t="s">
        <v>643</v>
      </c>
      <c r="G886" s="329" t="s">
        <v>765</v>
      </c>
      <c r="H886" s="807" t="s">
        <v>160</v>
      </c>
      <c r="I886" s="776">
        <v>700</v>
      </c>
      <c r="J886" s="776">
        <f>'preturi unitare'!H22</f>
        <v>64</v>
      </c>
      <c r="K886" s="776">
        <f t="shared" si="76"/>
        <v>44800</v>
      </c>
      <c r="L886" s="334">
        <f>K886</f>
        <v>44800</v>
      </c>
      <c r="M886" s="334">
        <v>0</v>
      </c>
      <c r="N886" s="385">
        <v>0</v>
      </c>
      <c r="O886" s="1482">
        <f>SUM(L886:L887)</f>
        <v>140800</v>
      </c>
      <c r="P886" s="1482">
        <f>O886/D886</f>
        <v>874.53416149068323</v>
      </c>
      <c r="Q886" s="1498"/>
    </row>
    <row r="887" spans="1:19" s="373" customFormat="1" ht="30">
      <c r="A887" s="1568"/>
      <c r="B887" s="1701"/>
      <c r="C887" s="1701"/>
      <c r="D887" s="1514"/>
      <c r="E887" s="1505"/>
      <c r="F887" s="762" t="s">
        <v>322</v>
      </c>
      <c r="G887" s="362" t="s">
        <v>858</v>
      </c>
      <c r="H887" s="807" t="s">
        <v>160</v>
      </c>
      <c r="I887" s="776">
        <v>3000</v>
      </c>
      <c r="J887" s="776">
        <f>J883</f>
        <v>64</v>
      </c>
      <c r="K887" s="776">
        <f t="shared" si="76"/>
        <v>192000</v>
      </c>
      <c r="L887" s="334">
        <f>1500*J887</f>
        <v>96000</v>
      </c>
      <c r="M887" s="334">
        <f>1500*J887</f>
        <v>96000</v>
      </c>
      <c r="N887" s="385">
        <v>0</v>
      </c>
      <c r="O887" s="1482"/>
      <c r="P887" s="1482"/>
      <c r="Q887" s="1498"/>
    </row>
    <row r="888" spans="1:19" s="373" customFormat="1" ht="30">
      <c r="A888" s="1568"/>
      <c r="B888" s="1701"/>
      <c r="C888" s="773" t="s">
        <v>1327</v>
      </c>
      <c r="D888" s="754">
        <v>144</v>
      </c>
      <c r="E888" s="653" t="s">
        <v>1451</v>
      </c>
      <c r="F888" s="762" t="s">
        <v>322</v>
      </c>
      <c r="G888" s="362" t="s">
        <v>1329</v>
      </c>
      <c r="H888" s="653" t="s">
        <v>160</v>
      </c>
      <c r="I888" s="776">
        <v>4200</v>
      </c>
      <c r="J888" s="776">
        <f>J883</f>
        <v>64</v>
      </c>
      <c r="K888" s="776">
        <f t="shared" si="76"/>
        <v>268800</v>
      </c>
      <c r="L888" s="334">
        <f>2200*J888</f>
        <v>140800</v>
      </c>
      <c r="M888" s="334">
        <f>2000*J888</f>
        <v>128000</v>
      </c>
      <c r="N888" s="385">
        <v>0</v>
      </c>
      <c r="O888" s="776">
        <f>L888</f>
        <v>140800</v>
      </c>
      <c r="P888" s="776">
        <f>O888/D888</f>
        <v>977.77777777777783</v>
      </c>
      <c r="Q888" s="1499"/>
    </row>
    <row r="889" spans="1:19">
      <c r="A889" s="820"/>
      <c r="B889" s="326"/>
      <c r="C889" s="326"/>
      <c r="D889" s="326"/>
      <c r="E889" s="326"/>
      <c r="F889" s="326"/>
      <c r="G889" s="326"/>
      <c r="H889" s="326"/>
      <c r="I889" s="776"/>
      <c r="J889" s="776"/>
      <c r="K889" s="776"/>
      <c r="L889" s="334"/>
      <c r="M889" s="334"/>
      <c r="N889" s="385"/>
      <c r="O889" s="405"/>
      <c r="P889" s="405"/>
      <c r="Q889" s="587"/>
    </row>
    <row r="890" spans="1:19">
      <c r="A890" s="1469" t="s">
        <v>588</v>
      </c>
      <c r="B890" s="1470"/>
      <c r="C890" s="1470"/>
      <c r="D890" s="1470"/>
      <c r="E890" s="1470"/>
      <c r="F890" s="1470"/>
      <c r="G890" s="1471"/>
      <c r="H890" s="793"/>
      <c r="I890" s="776"/>
      <c r="J890" s="776"/>
      <c r="K890" s="364">
        <f>SUM(K883:K888)</f>
        <v>998400</v>
      </c>
      <c r="L890" s="365">
        <f>SUM(L883:L888)</f>
        <v>774400</v>
      </c>
      <c r="M890" s="365">
        <f>SUM(M883:M888)</f>
        <v>224000</v>
      </c>
      <c r="N890" s="364">
        <f>SUM(N883:N888)</f>
        <v>0</v>
      </c>
      <c r="O890" s="415"/>
      <c r="P890" s="387"/>
      <c r="Q890" s="584"/>
      <c r="S890" s="629"/>
    </row>
    <row r="891" spans="1:19" ht="15.75" thickBot="1">
      <c r="A891" s="833"/>
      <c r="B891" s="397"/>
      <c r="C891" s="397"/>
      <c r="D891" s="397"/>
      <c r="E891" s="397"/>
      <c r="F891" s="766"/>
      <c r="G891" s="417"/>
      <c r="H891" s="732"/>
      <c r="I891" s="732"/>
      <c r="J891" s="732"/>
      <c r="K891" s="732"/>
      <c r="L891" s="426"/>
      <c r="M891" s="426"/>
      <c r="N891" s="937"/>
      <c r="O891" s="406"/>
      <c r="P891" s="406"/>
      <c r="Q891" s="857"/>
    </row>
    <row r="892" spans="1:19" s="382" customFormat="1" ht="60" customHeight="1">
      <c r="A892" s="1542" t="s">
        <v>632</v>
      </c>
      <c r="B892" s="1544" t="s">
        <v>617</v>
      </c>
      <c r="C892" s="1538" t="s">
        <v>610</v>
      </c>
      <c r="D892" s="1538" t="s">
        <v>611</v>
      </c>
      <c r="E892" s="1538" t="s">
        <v>1453</v>
      </c>
      <c r="F892" s="1472" t="s">
        <v>159</v>
      </c>
      <c r="G892" s="1509" t="s">
        <v>110</v>
      </c>
      <c r="H892" s="1477" t="s">
        <v>316</v>
      </c>
      <c r="I892" s="1472" t="s">
        <v>315</v>
      </c>
      <c r="J892" s="1472" t="s">
        <v>317</v>
      </c>
      <c r="K892" s="1472" t="s">
        <v>318</v>
      </c>
      <c r="L892" s="569" t="s">
        <v>1443</v>
      </c>
      <c r="M892" s="569" t="s">
        <v>1444</v>
      </c>
      <c r="N892" s="752" t="s">
        <v>1445</v>
      </c>
      <c r="O892" s="1477" t="s">
        <v>1673</v>
      </c>
      <c r="P892" s="1477" t="s">
        <v>1307</v>
      </c>
      <c r="Q892" s="1495" t="s">
        <v>1454</v>
      </c>
    </row>
    <row r="893" spans="1:19" s="382" customFormat="1" ht="15.75" thickBot="1">
      <c r="A893" s="1543"/>
      <c r="B893" s="1545"/>
      <c r="C893" s="1539"/>
      <c r="D893" s="1539"/>
      <c r="E893" s="1539"/>
      <c r="F893" s="1473"/>
      <c r="G893" s="1510"/>
      <c r="H893" s="1478"/>
      <c r="I893" s="1473"/>
      <c r="J893" s="1473"/>
      <c r="K893" s="1473"/>
      <c r="L893" s="570" t="s">
        <v>805</v>
      </c>
      <c r="M893" s="570" t="s">
        <v>805</v>
      </c>
      <c r="N893" s="753" t="s">
        <v>1149</v>
      </c>
      <c r="O893" s="1478"/>
      <c r="P893" s="1478"/>
      <c r="Q893" s="1496"/>
    </row>
    <row r="894" spans="1:19" s="373" customFormat="1" ht="45">
      <c r="A894" s="1732" t="s">
        <v>638</v>
      </c>
      <c r="B894" s="1575" t="s">
        <v>2060</v>
      </c>
      <c r="C894" s="1787" t="s">
        <v>2056</v>
      </c>
      <c r="D894" s="1695">
        <f>1153+1025</f>
        <v>2178</v>
      </c>
      <c r="E894" s="1698">
        <f>1.1*D894</f>
        <v>2395.8000000000002</v>
      </c>
      <c r="F894" s="931" t="s">
        <v>323</v>
      </c>
      <c r="G894" s="362" t="s">
        <v>2057</v>
      </c>
      <c r="H894" s="1248" t="s">
        <v>280</v>
      </c>
      <c r="I894" s="1235">
        <v>1</v>
      </c>
      <c r="J894" s="1235">
        <f>'preturi unitare'!O33</f>
        <v>246000</v>
      </c>
      <c r="K894" s="1123">
        <f>I894*J894</f>
        <v>246000</v>
      </c>
      <c r="L894" s="411">
        <f>K894</f>
        <v>246000</v>
      </c>
      <c r="M894" s="411">
        <v>0</v>
      </c>
      <c r="N894" s="429">
        <v>0</v>
      </c>
      <c r="O894" s="1463">
        <f>SUM(L894:L898)</f>
        <v>1964000</v>
      </c>
      <c r="P894" s="1463">
        <f>O894/E894</f>
        <v>819.76792720594369</v>
      </c>
      <c r="Q894" s="1497" t="s">
        <v>2061</v>
      </c>
    </row>
    <row r="895" spans="1:19" s="373" customFormat="1" ht="45" customHeight="1">
      <c r="A895" s="1732"/>
      <c r="B895" s="1660"/>
      <c r="C895" s="1615"/>
      <c r="D895" s="1594"/>
      <c r="E895" s="1694"/>
      <c r="F895" s="1254" t="s">
        <v>144</v>
      </c>
      <c r="G895" s="362" t="s">
        <v>2058</v>
      </c>
      <c r="H895" s="807" t="s">
        <v>160</v>
      </c>
      <c r="I895" s="807">
        <v>4000</v>
      </c>
      <c r="J895" s="1238">
        <f>'preturi unitare'!H41</f>
        <v>165</v>
      </c>
      <c r="K895" s="1123">
        <f>I895*J895</f>
        <v>660000</v>
      </c>
      <c r="L895" s="411">
        <f t="shared" ref="L895:L898" si="77">K895</f>
        <v>660000</v>
      </c>
      <c r="M895" s="411">
        <v>0</v>
      </c>
      <c r="N895" s="429">
        <v>0</v>
      </c>
      <c r="O895" s="1464"/>
      <c r="P895" s="1464"/>
      <c r="Q895" s="1646"/>
    </row>
    <row r="896" spans="1:19" s="373" customFormat="1" ht="45">
      <c r="A896" s="1732"/>
      <c r="B896" s="1660"/>
      <c r="C896" s="1615"/>
      <c r="D896" s="1594"/>
      <c r="E896" s="1694"/>
      <c r="F896" s="1048" t="s">
        <v>324</v>
      </c>
      <c r="G896" s="362" t="s">
        <v>2059</v>
      </c>
      <c r="H896" s="807" t="s">
        <v>280</v>
      </c>
      <c r="I896" s="1238">
        <v>2</v>
      </c>
      <c r="J896" s="1238">
        <f>'preturi unitare'!B32</f>
        <v>67000</v>
      </c>
      <c r="K896" s="1235">
        <f>I896*J896</f>
        <v>134000</v>
      </c>
      <c r="L896" s="411">
        <f t="shared" si="77"/>
        <v>134000</v>
      </c>
      <c r="M896" s="411">
        <v>0</v>
      </c>
      <c r="N896" s="429">
        <v>0</v>
      </c>
      <c r="O896" s="1464"/>
      <c r="P896" s="1464"/>
      <c r="Q896" s="1646"/>
    </row>
    <row r="897" spans="1:17" s="373" customFormat="1" ht="30">
      <c r="A897" s="1732"/>
      <c r="B897" s="1660"/>
      <c r="C897" s="1615"/>
      <c r="D897" s="1594"/>
      <c r="E897" s="1694"/>
      <c r="F897" s="1788" t="s">
        <v>325</v>
      </c>
      <c r="G897" s="362" t="s">
        <v>859</v>
      </c>
      <c r="H897" s="807" t="s">
        <v>160</v>
      </c>
      <c r="I897" s="1238">
        <v>3000</v>
      </c>
      <c r="J897" s="1238">
        <f>'preturi unitare'!H40</f>
        <v>154</v>
      </c>
      <c r="K897" s="1235">
        <f>I897*J897</f>
        <v>462000</v>
      </c>
      <c r="L897" s="411">
        <f t="shared" si="77"/>
        <v>462000</v>
      </c>
      <c r="M897" s="411">
        <v>0</v>
      </c>
      <c r="N897" s="429">
        <v>0</v>
      </c>
      <c r="O897" s="1464"/>
      <c r="P897" s="1464"/>
      <c r="Q897" s="1646"/>
    </row>
    <row r="898" spans="1:17" s="373" customFormat="1" ht="30">
      <c r="A898" s="1732"/>
      <c r="B898" s="1660"/>
      <c r="C898" s="1615"/>
      <c r="D898" s="1594"/>
      <c r="E898" s="1695"/>
      <c r="F898" s="1788"/>
      <c r="G898" s="362" t="s">
        <v>860</v>
      </c>
      <c r="H898" s="807" t="s">
        <v>160</v>
      </c>
      <c r="I898" s="1238">
        <v>3000</v>
      </c>
      <c r="J898" s="1238">
        <f>'preturi unitare'!H40</f>
        <v>154</v>
      </c>
      <c r="K898" s="1235">
        <f>I898*J898</f>
        <v>462000</v>
      </c>
      <c r="L898" s="411">
        <f t="shared" si="77"/>
        <v>462000</v>
      </c>
      <c r="M898" s="411">
        <v>0</v>
      </c>
      <c r="N898" s="429">
        <v>0</v>
      </c>
      <c r="O898" s="1465"/>
      <c r="P898" s="1465"/>
      <c r="Q898" s="1559"/>
    </row>
    <row r="899" spans="1:17" s="373" customFormat="1" ht="30">
      <c r="A899" s="1672"/>
      <c r="B899" s="1576" t="s">
        <v>1451</v>
      </c>
      <c r="C899" s="1615" t="s">
        <v>641</v>
      </c>
      <c r="D899" s="1594">
        <v>982</v>
      </c>
      <c r="E899" s="1693">
        <f>D899</f>
        <v>982</v>
      </c>
      <c r="F899" s="1048" t="s">
        <v>323</v>
      </c>
      <c r="G899" s="362" t="s">
        <v>2070</v>
      </c>
      <c r="H899" s="807" t="s">
        <v>280</v>
      </c>
      <c r="I899" s="1119">
        <v>1</v>
      </c>
      <c r="J899" s="1119">
        <f>'preturi unitare'!O29</f>
        <v>165500</v>
      </c>
      <c r="K899" s="1119">
        <f>J899*I899</f>
        <v>165500</v>
      </c>
      <c r="L899" s="334">
        <v>0</v>
      </c>
      <c r="M899" s="334">
        <f>K899</f>
        <v>165500</v>
      </c>
      <c r="N899" s="385">
        <v>0</v>
      </c>
      <c r="O899" s="1482">
        <f>SUM(M899:M900)</f>
        <v>1166500</v>
      </c>
      <c r="P899" s="1482">
        <f>O899/D899</f>
        <v>1187.8818737270876</v>
      </c>
      <c r="Q899" s="1500" t="s">
        <v>1521</v>
      </c>
    </row>
    <row r="900" spans="1:17" s="373" customFormat="1" ht="30">
      <c r="A900" s="1672"/>
      <c r="B900" s="1576"/>
      <c r="C900" s="1615"/>
      <c r="D900" s="1594"/>
      <c r="E900" s="1695"/>
      <c r="F900" s="1048" t="s">
        <v>325</v>
      </c>
      <c r="G900" s="362" t="s">
        <v>861</v>
      </c>
      <c r="H900" s="807" t="s">
        <v>160</v>
      </c>
      <c r="I900" s="1119">
        <v>6500</v>
      </c>
      <c r="J900" s="1119">
        <f>'preturi unitare'!H40</f>
        <v>154</v>
      </c>
      <c r="K900" s="1119">
        <f>I900*J900</f>
        <v>1001000</v>
      </c>
      <c r="L900" s="334">
        <v>0</v>
      </c>
      <c r="M900" s="334">
        <f t="shared" ref="M900:M902" si="78">K900</f>
        <v>1001000</v>
      </c>
      <c r="N900" s="385">
        <v>0</v>
      </c>
      <c r="O900" s="1482"/>
      <c r="P900" s="1482"/>
      <c r="Q900" s="1499"/>
    </row>
    <row r="901" spans="1:17" s="373" customFormat="1" ht="30">
      <c r="A901" s="1672"/>
      <c r="B901" s="1576" t="s">
        <v>1451</v>
      </c>
      <c r="C901" s="1615" t="s">
        <v>640</v>
      </c>
      <c r="D901" s="1594">
        <v>653</v>
      </c>
      <c r="E901" s="1693">
        <f>D901</f>
        <v>653</v>
      </c>
      <c r="F901" s="1048" t="s">
        <v>323</v>
      </c>
      <c r="G901" s="362" t="s">
        <v>2071</v>
      </c>
      <c r="H901" s="807" t="s">
        <v>280</v>
      </c>
      <c r="I901" s="1119">
        <v>1</v>
      </c>
      <c r="J901" s="1119">
        <f>'preturi unitare'!O27</f>
        <v>106500</v>
      </c>
      <c r="K901" s="1119">
        <f>J901</f>
        <v>106500</v>
      </c>
      <c r="L901" s="334">
        <v>0</v>
      </c>
      <c r="M901" s="334">
        <f t="shared" si="78"/>
        <v>106500</v>
      </c>
      <c r="N901" s="385">
        <v>0</v>
      </c>
      <c r="O901" s="1482">
        <f>SUM(M901:M902)</f>
        <v>1030500</v>
      </c>
      <c r="P901" s="1482">
        <f>O901/D901</f>
        <v>1578.1010719754977</v>
      </c>
      <c r="Q901" s="1500" t="s">
        <v>1522</v>
      </c>
    </row>
    <row r="902" spans="1:17" s="373" customFormat="1" ht="30">
      <c r="A902" s="1672"/>
      <c r="B902" s="1576"/>
      <c r="C902" s="1615"/>
      <c r="D902" s="1594"/>
      <c r="E902" s="1695"/>
      <c r="F902" s="1048" t="s">
        <v>325</v>
      </c>
      <c r="G902" s="362" t="s">
        <v>862</v>
      </c>
      <c r="H902" s="807" t="s">
        <v>160</v>
      </c>
      <c r="I902" s="1119">
        <v>6000</v>
      </c>
      <c r="J902" s="1119">
        <f>'preturi unitare'!H40</f>
        <v>154</v>
      </c>
      <c r="K902" s="1119">
        <f>I902*J902</f>
        <v>924000</v>
      </c>
      <c r="L902" s="334">
        <v>0</v>
      </c>
      <c r="M902" s="334">
        <f t="shared" si="78"/>
        <v>924000</v>
      </c>
      <c r="N902" s="385">
        <v>0</v>
      </c>
      <c r="O902" s="1482"/>
      <c r="P902" s="1482"/>
      <c r="Q902" s="1499"/>
    </row>
    <row r="903" spans="1:17" s="373" customFormat="1" ht="45">
      <c r="A903" s="1672"/>
      <c r="B903" s="774" t="s">
        <v>1451</v>
      </c>
      <c r="C903" s="784" t="s">
        <v>642</v>
      </c>
      <c r="D903" s="785">
        <f>D886</f>
        <v>161</v>
      </c>
      <c r="E903" s="785">
        <f>D903</f>
        <v>161</v>
      </c>
      <c r="F903" s="1048" t="s">
        <v>323</v>
      </c>
      <c r="G903" s="329" t="s">
        <v>593</v>
      </c>
      <c r="H903" s="807" t="s">
        <v>1322</v>
      </c>
      <c r="I903" s="1119">
        <v>1</v>
      </c>
      <c r="J903" s="1119">
        <f>J904</f>
        <v>70000</v>
      </c>
      <c r="K903" s="1119">
        <f>I903*J903</f>
        <v>70000</v>
      </c>
      <c r="L903" s="334">
        <v>0</v>
      </c>
      <c r="M903" s="334">
        <f>K903</f>
        <v>70000</v>
      </c>
      <c r="N903" s="385">
        <v>0</v>
      </c>
      <c r="O903" s="776">
        <f>K903</f>
        <v>70000</v>
      </c>
      <c r="P903" s="776">
        <f>O903/D903</f>
        <v>434.78260869565219</v>
      </c>
      <c r="Q903" s="982" t="s">
        <v>1523</v>
      </c>
    </row>
    <row r="904" spans="1:17" s="373" customFormat="1" ht="45">
      <c r="A904" s="1672"/>
      <c r="B904" s="774" t="s">
        <v>1451</v>
      </c>
      <c r="C904" s="1266" t="s">
        <v>2068</v>
      </c>
      <c r="D904" s="785">
        <f>D888</f>
        <v>144</v>
      </c>
      <c r="E904" s="785">
        <f>D904</f>
        <v>144</v>
      </c>
      <c r="F904" s="1048" t="s">
        <v>323</v>
      </c>
      <c r="G904" s="329" t="s">
        <v>2069</v>
      </c>
      <c r="H904" s="807" t="s">
        <v>1322</v>
      </c>
      <c r="I904" s="1119">
        <v>1</v>
      </c>
      <c r="J904" s="1119">
        <f>'preturi unitare'!L4</f>
        <v>70000</v>
      </c>
      <c r="K904" s="1119">
        <f>I904*J904</f>
        <v>70000</v>
      </c>
      <c r="L904" s="334">
        <v>0</v>
      </c>
      <c r="M904" s="334">
        <f>K904</f>
        <v>70000</v>
      </c>
      <c r="N904" s="385">
        <v>0</v>
      </c>
      <c r="O904" s="776">
        <f>K904</f>
        <v>70000</v>
      </c>
      <c r="P904" s="776">
        <f>O904/D904</f>
        <v>486.11111111111109</v>
      </c>
      <c r="Q904" s="982" t="s">
        <v>1524</v>
      </c>
    </row>
    <row r="905" spans="1:17" s="382" customFormat="1">
      <c r="A905" s="820"/>
      <c r="B905" s="761"/>
      <c r="C905" s="761"/>
      <c r="D905" s="760"/>
      <c r="E905" s="760"/>
      <c r="F905" s="1128"/>
      <c r="G905" s="384"/>
      <c r="H905" s="1119"/>
      <c r="I905" s="1119"/>
      <c r="J905" s="1119"/>
      <c r="K905" s="1119"/>
      <c r="L905" s="334"/>
      <c r="M905" s="334"/>
      <c r="N905" s="385"/>
      <c r="O905" s="405"/>
      <c r="P905" s="405"/>
      <c r="Q905" s="587"/>
    </row>
    <row r="906" spans="1:17">
      <c r="A906" s="1532" t="s">
        <v>347</v>
      </c>
      <c r="B906" s="1533"/>
      <c r="C906" s="1533"/>
      <c r="D906" s="1533"/>
      <c r="E906" s="1533"/>
      <c r="F906" s="1533"/>
      <c r="G906" s="1534"/>
      <c r="H906" s="364"/>
      <c r="I906" s="364"/>
      <c r="J906" s="364"/>
      <c r="K906" s="364">
        <f>SUM(K894:K904)</f>
        <v>4301000</v>
      </c>
      <c r="L906" s="365">
        <f>SUM(L894:L904)</f>
        <v>1964000</v>
      </c>
      <c r="M906" s="365">
        <f>SUM(M894:M904)</f>
        <v>2337000</v>
      </c>
      <c r="N906" s="364">
        <f>SUM(N894:N904)</f>
        <v>0</v>
      </c>
      <c r="O906" s="415"/>
      <c r="P906" s="387"/>
      <c r="Q906" s="587"/>
    </row>
    <row r="907" spans="1:17">
      <c r="A907" s="820"/>
      <c r="B907" s="782"/>
      <c r="C907" s="782"/>
      <c r="D907" s="782"/>
      <c r="E907" s="782"/>
      <c r="F907" s="762"/>
      <c r="G907" s="328"/>
      <c r="H907" s="776"/>
      <c r="I907" s="776"/>
      <c r="J907" s="776"/>
      <c r="K907" s="776"/>
      <c r="L907" s="334"/>
      <c r="M907" s="334"/>
      <c r="N907" s="776"/>
      <c r="O907" s="387"/>
      <c r="P907" s="387"/>
      <c r="Q907" s="587"/>
    </row>
    <row r="908" spans="1:17" ht="15.75" customHeight="1" thickBot="1">
      <c r="A908" s="1474" t="s">
        <v>348</v>
      </c>
      <c r="B908" s="1475"/>
      <c r="C908" s="1475"/>
      <c r="D908" s="1475"/>
      <c r="E908" s="1475"/>
      <c r="F908" s="1475"/>
      <c r="G908" s="1476"/>
      <c r="H908" s="581"/>
      <c r="I908" s="581"/>
      <c r="J908" s="581"/>
      <c r="K908" s="582">
        <f>K890+K906</f>
        <v>5299400</v>
      </c>
      <c r="L908" s="583">
        <f>L890+L906</f>
        <v>2738400</v>
      </c>
      <c r="M908" s="583">
        <f>M890+M906</f>
        <v>2561000</v>
      </c>
      <c r="N908" s="582">
        <f>N890+N906</f>
        <v>0</v>
      </c>
      <c r="O908" s="580"/>
      <c r="P908" s="580"/>
      <c r="Q908" s="816"/>
    </row>
    <row r="909" spans="1:17" s="382" customFormat="1" ht="15.75" thickBot="1">
      <c r="A909" s="586"/>
      <c r="B909" s="871"/>
      <c r="C909" s="871"/>
      <c r="D909" s="871"/>
      <c r="E909" s="871"/>
      <c r="F909" s="595"/>
      <c r="G909" s="595"/>
      <c r="H909" s="716"/>
      <c r="I909" s="716"/>
      <c r="J909" s="716"/>
      <c r="K909" s="626"/>
      <c r="L909" s="592"/>
      <c r="M909" s="592"/>
      <c r="N909" s="626"/>
      <c r="O909" s="586"/>
      <c r="P909" s="586"/>
      <c r="Q909" s="586"/>
    </row>
    <row r="910" spans="1:17" ht="15.75" thickBot="1">
      <c r="A910" s="859"/>
      <c r="B910" s="639"/>
      <c r="C910" s="639"/>
      <c r="D910" s="639"/>
      <c r="E910" s="639"/>
      <c r="F910" s="846"/>
      <c r="G910" s="577" t="s">
        <v>1908</v>
      </c>
      <c r="H910" s="872"/>
      <c r="I910" s="919"/>
      <c r="J910" s="641"/>
      <c r="K910" s="1268"/>
      <c r="L910" s="939"/>
      <c r="M910" s="845"/>
      <c r="N910" s="638"/>
      <c r="O910" s="641"/>
      <c r="P910" s="641"/>
      <c r="Q910" s="642"/>
    </row>
    <row r="911" spans="1:17" ht="15.75" thickBot="1">
      <c r="A911" s="833"/>
      <c r="B911" s="355"/>
      <c r="C911" s="355"/>
      <c r="D911" s="355"/>
      <c r="E911" s="355"/>
      <c r="F911" s="356"/>
      <c r="G911" s="576"/>
      <c r="H911" s="371"/>
      <c r="I911" s="371"/>
      <c r="J911" s="371"/>
      <c r="K911" s="371"/>
      <c r="L911" s="372"/>
      <c r="M911" s="372"/>
      <c r="N911" s="371"/>
      <c r="O911" s="406"/>
      <c r="P911" s="406"/>
      <c r="Q911" s="857"/>
    </row>
    <row r="912" spans="1:17" s="382" customFormat="1" ht="60" customHeight="1">
      <c r="A912" s="1542" t="s">
        <v>632</v>
      </c>
      <c r="B912" s="1544" t="s">
        <v>617</v>
      </c>
      <c r="C912" s="1538" t="s">
        <v>610</v>
      </c>
      <c r="D912" s="1538" t="s">
        <v>611</v>
      </c>
      <c r="E912" s="1538" t="s">
        <v>1453</v>
      </c>
      <c r="F912" s="1472" t="s">
        <v>159</v>
      </c>
      <c r="G912" s="1509" t="s">
        <v>110</v>
      </c>
      <c r="H912" s="1477" t="s">
        <v>316</v>
      </c>
      <c r="I912" s="1472" t="s">
        <v>315</v>
      </c>
      <c r="J912" s="1472" t="s">
        <v>317</v>
      </c>
      <c r="K912" s="1472" t="s">
        <v>318</v>
      </c>
      <c r="L912" s="569" t="s">
        <v>1443</v>
      </c>
      <c r="M912" s="569" t="s">
        <v>1444</v>
      </c>
      <c r="N912" s="752" t="s">
        <v>1445</v>
      </c>
      <c r="O912" s="1477" t="s">
        <v>1673</v>
      </c>
      <c r="P912" s="1477" t="s">
        <v>1307</v>
      </c>
      <c r="Q912" s="1495" t="s">
        <v>1454</v>
      </c>
    </row>
    <row r="913" spans="1:17" s="382" customFormat="1" ht="15.75" thickBot="1">
      <c r="A913" s="1543"/>
      <c r="B913" s="1545"/>
      <c r="C913" s="1539"/>
      <c r="D913" s="1539"/>
      <c r="E913" s="1539"/>
      <c r="F913" s="1473"/>
      <c r="G913" s="1510"/>
      <c r="H913" s="1478"/>
      <c r="I913" s="1473"/>
      <c r="J913" s="1473"/>
      <c r="K913" s="1473"/>
      <c r="L913" s="570" t="s">
        <v>805</v>
      </c>
      <c r="M913" s="570" t="s">
        <v>805</v>
      </c>
      <c r="N913" s="753" t="s">
        <v>1149</v>
      </c>
      <c r="O913" s="1478"/>
      <c r="P913" s="1478"/>
      <c r="Q913" s="1496"/>
    </row>
    <row r="914" spans="1:17" s="373" customFormat="1" ht="30" customHeight="1">
      <c r="A914" s="1732" t="s">
        <v>644</v>
      </c>
      <c r="B914" s="1575" t="s">
        <v>1451</v>
      </c>
      <c r="C914" s="1575" t="s">
        <v>644</v>
      </c>
      <c r="D914" s="1593">
        <v>914</v>
      </c>
      <c r="E914" s="1593">
        <v>1000</v>
      </c>
      <c r="F914" s="746" t="s">
        <v>323</v>
      </c>
      <c r="G914" s="423" t="s">
        <v>1709</v>
      </c>
      <c r="H914" s="1122" t="s">
        <v>280</v>
      </c>
      <c r="I914" s="1122">
        <v>1</v>
      </c>
      <c r="J914" s="1123">
        <f>'preturi unitare'!O29</f>
        <v>165500</v>
      </c>
      <c r="K914" s="1123">
        <f t="shared" ref="K914:K919" si="79">I914*J914</f>
        <v>165500</v>
      </c>
      <c r="L914" s="411">
        <v>0</v>
      </c>
      <c r="M914" s="411">
        <f>K914</f>
        <v>165500</v>
      </c>
      <c r="N914" s="756">
        <v>0</v>
      </c>
      <c r="O914" s="1555">
        <f>SUM(M914:M915)</f>
        <v>1597700</v>
      </c>
      <c r="P914" s="1555">
        <f>O914/E914</f>
        <v>1597.7</v>
      </c>
      <c r="Q914" s="1547" t="s">
        <v>1712</v>
      </c>
    </row>
    <row r="915" spans="1:17" s="373" customFormat="1" ht="30" customHeight="1">
      <c r="A915" s="1732"/>
      <c r="B915" s="1576"/>
      <c r="C915" s="1576"/>
      <c r="D915" s="1594"/>
      <c r="E915" s="1594"/>
      <c r="F915" s="746" t="s">
        <v>325</v>
      </c>
      <c r="G915" s="362" t="s">
        <v>863</v>
      </c>
      <c r="H915" s="807" t="s">
        <v>160</v>
      </c>
      <c r="I915" s="1119">
        <v>9300</v>
      </c>
      <c r="J915" s="1123">
        <f>'preturi unitare'!H40</f>
        <v>154</v>
      </c>
      <c r="K915" s="1123">
        <f>I915*J915</f>
        <v>1432200</v>
      </c>
      <c r="L915" s="411">
        <v>0</v>
      </c>
      <c r="M915" s="411">
        <f t="shared" ref="M915:M917" si="80">K915</f>
        <v>1432200</v>
      </c>
      <c r="N915" s="1280">
        <v>0</v>
      </c>
      <c r="O915" s="1482"/>
      <c r="P915" s="1482"/>
      <c r="Q915" s="1548"/>
    </row>
    <row r="916" spans="1:17" s="373" customFormat="1" ht="30" customHeight="1">
      <c r="A916" s="1732"/>
      <c r="B916" s="1576" t="s">
        <v>1451</v>
      </c>
      <c r="C916" s="1576" t="s">
        <v>1711</v>
      </c>
      <c r="D916" s="1594">
        <v>1112</v>
      </c>
      <c r="E916" s="1594">
        <f>D916</f>
        <v>1112</v>
      </c>
      <c r="F916" s="746" t="s">
        <v>323</v>
      </c>
      <c r="G916" s="423" t="s">
        <v>1710</v>
      </c>
      <c r="H916" s="1122" t="s">
        <v>280</v>
      </c>
      <c r="I916" s="1122">
        <v>1</v>
      </c>
      <c r="J916" s="1123">
        <f>'preturi unitare'!O29</f>
        <v>165500</v>
      </c>
      <c r="K916" s="1123">
        <f>I916*J916</f>
        <v>165500</v>
      </c>
      <c r="L916" s="411">
        <v>0</v>
      </c>
      <c r="M916" s="411">
        <f t="shared" si="80"/>
        <v>165500</v>
      </c>
      <c r="N916" s="1280">
        <v>0</v>
      </c>
      <c r="O916" s="1482">
        <f>SUM(M916:M917)</f>
        <v>704500</v>
      </c>
      <c r="P916" s="1482">
        <f>O916/E916</f>
        <v>633.54316546762595</v>
      </c>
      <c r="Q916" s="1548" t="s">
        <v>1713</v>
      </c>
    </row>
    <row r="917" spans="1:17" s="373" customFormat="1" ht="30">
      <c r="A917" s="1672"/>
      <c r="B917" s="1576"/>
      <c r="C917" s="1576"/>
      <c r="D917" s="1594"/>
      <c r="E917" s="1594"/>
      <c r="F917" s="746" t="s">
        <v>325</v>
      </c>
      <c r="G917" s="362" t="s">
        <v>864</v>
      </c>
      <c r="H917" s="807" t="s">
        <v>160</v>
      </c>
      <c r="I917" s="1119">
        <v>3500</v>
      </c>
      <c r="J917" s="1119">
        <f>'preturi unitare'!H40</f>
        <v>154</v>
      </c>
      <c r="K917" s="1119">
        <f t="shared" si="79"/>
        <v>539000</v>
      </c>
      <c r="L917" s="334">
        <v>0</v>
      </c>
      <c r="M917" s="411">
        <f t="shared" si="80"/>
        <v>539000</v>
      </c>
      <c r="N917" s="1280">
        <v>0</v>
      </c>
      <c r="O917" s="1482"/>
      <c r="P917" s="1482"/>
      <c r="Q917" s="1548"/>
    </row>
    <row r="918" spans="1:17" s="373" customFormat="1" ht="45">
      <c r="A918" s="1672"/>
      <c r="B918" s="1125" t="s">
        <v>1451</v>
      </c>
      <c r="C918" s="1125" t="s">
        <v>645</v>
      </c>
      <c r="D918" s="785">
        <v>456</v>
      </c>
      <c r="E918" s="785">
        <f>D918</f>
        <v>456</v>
      </c>
      <c r="F918" s="1126" t="s">
        <v>323</v>
      </c>
      <c r="G918" s="329" t="s">
        <v>865</v>
      </c>
      <c r="H918" s="807" t="s">
        <v>1322</v>
      </c>
      <c r="I918" s="807">
        <v>1</v>
      </c>
      <c r="J918" s="1119">
        <f>'preturi unitare'!L4</f>
        <v>70000</v>
      </c>
      <c r="K918" s="1119">
        <f t="shared" si="79"/>
        <v>70000</v>
      </c>
      <c r="L918" s="334">
        <v>0</v>
      </c>
      <c r="M918" s="411">
        <f>K918</f>
        <v>70000</v>
      </c>
      <c r="N918" s="1280">
        <v>0</v>
      </c>
      <c r="O918" s="776">
        <f>K918</f>
        <v>70000</v>
      </c>
      <c r="P918" s="776">
        <f>O918/D918</f>
        <v>153.50877192982455</v>
      </c>
      <c r="Q918" s="1036" t="s">
        <v>1525</v>
      </c>
    </row>
    <row r="919" spans="1:17" s="373" customFormat="1" ht="45">
      <c r="A919" s="1672"/>
      <c r="B919" s="774" t="s">
        <v>1451</v>
      </c>
      <c r="C919" s="774" t="s">
        <v>646</v>
      </c>
      <c r="D919" s="785">
        <v>126</v>
      </c>
      <c r="E919" s="785">
        <f>D919</f>
        <v>126</v>
      </c>
      <c r="F919" s="1126" t="s">
        <v>323</v>
      </c>
      <c r="G919" s="329" t="s">
        <v>596</v>
      </c>
      <c r="H919" s="807" t="s">
        <v>1322</v>
      </c>
      <c r="I919" s="807">
        <v>1</v>
      </c>
      <c r="J919" s="1119">
        <f>'preturi unitare'!L4</f>
        <v>70000</v>
      </c>
      <c r="K919" s="1119">
        <f t="shared" si="79"/>
        <v>70000</v>
      </c>
      <c r="L919" s="334">
        <v>0</v>
      </c>
      <c r="M919" s="411">
        <f>K919</f>
        <v>70000</v>
      </c>
      <c r="N919" s="1280">
        <v>0</v>
      </c>
      <c r="O919" s="776">
        <f>K919</f>
        <v>70000</v>
      </c>
      <c r="P919" s="776">
        <f>O919/D919</f>
        <v>555.55555555555554</v>
      </c>
      <c r="Q919" s="982" t="s">
        <v>1526</v>
      </c>
    </row>
    <row r="920" spans="1:17" s="382" customFormat="1">
      <c r="A920" s="820"/>
      <c r="B920" s="761"/>
      <c r="C920" s="761"/>
      <c r="D920" s="761"/>
      <c r="E920" s="761"/>
      <c r="F920" s="762"/>
      <c r="G920" s="384"/>
      <c r="H920" s="776"/>
      <c r="I920" s="776"/>
      <c r="J920" s="776"/>
      <c r="K920" s="776"/>
      <c r="L920" s="334"/>
      <c r="M920" s="334"/>
      <c r="N920" s="776"/>
      <c r="O920" s="405"/>
      <c r="P920" s="405"/>
      <c r="Q920" s="587"/>
    </row>
    <row r="921" spans="1:17">
      <c r="A921" s="1532" t="s">
        <v>349</v>
      </c>
      <c r="B921" s="1533"/>
      <c r="C921" s="1533"/>
      <c r="D921" s="1533"/>
      <c r="E921" s="1533"/>
      <c r="F921" s="1533"/>
      <c r="G921" s="1534"/>
      <c r="H921" s="364"/>
      <c r="I921" s="364"/>
      <c r="J921" s="364"/>
      <c r="K921" s="364">
        <f>SUM(K914:K919)</f>
        <v>2442200</v>
      </c>
      <c r="L921" s="365">
        <f>SUM(L914:L919)</f>
        <v>0</v>
      </c>
      <c r="M921" s="365">
        <f>SUM(M914:M919)</f>
        <v>2442200</v>
      </c>
      <c r="N921" s="364">
        <f>SUM(N914:N919)</f>
        <v>0</v>
      </c>
      <c r="O921" s="415"/>
      <c r="P921" s="387"/>
      <c r="Q921" s="587"/>
    </row>
    <row r="922" spans="1:17">
      <c r="A922" s="820"/>
      <c r="B922" s="782"/>
      <c r="C922" s="782"/>
      <c r="D922" s="782"/>
      <c r="E922" s="782"/>
      <c r="F922" s="762"/>
      <c r="G922" s="328"/>
      <c r="H922" s="776"/>
      <c r="I922" s="776"/>
      <c r="J922" s="776"/>
      <c r="K922" s="776"/>
      <c r="L922" s="334"/>
      <c r="M922" s="334"/>
      <c r="N922" s="776"/>
      <c r="O922" s="387"/>
      <c r="P922" s="387"/>
      <c r="Q922" s="587"/>
    </row>
    <row r="923" spans="1:17" ht="15" customHeight="1" thickBot="1">
      <c r="A923" s="1474" t="s">
        <v>350</v>
      </c>
      <c r="B923" s="1475"/>
      <c r="C923" s="1475"/>
      <c r="D923" s="1475"/>
      <c r="E923" s="1475"/>
      <c r="F923" s="1475"/>
      <c r="G923" s="1476"/>
      <c r="H923" s="581"/>
      <c r="I923" s="581"/>
      <c r="J923" s="581"/>
      <c r="K923" s="582">
        <f>K921</f>
        <v>2442200</v>
      </c>
      <c r="L923" s="583">
        <f>L921</f>
        <v>0</v>
      </c>
      <c r="M923" s="583">
        <f>M921</f>
        <v>2442200</v>
      </c>
      <c r="N923" s="582">
        <f>N921</f>
        <v>0</v>
      </c>
      <c r="O923" s="580"/>
      <c r="P923" s="580"/>
      <c r="Q923" s="816"/>
    </row>
    <row r="924" spans="1:17" s="373" customFormat="1" ht="15.75" thickBot="1">
      <c r="A924" s="876"/>
      <c r="B924" s="871"/>
      <c r="C924" s="871"/>
      <c r="D924" s="871"/>
      <c r="E924" s="871"/>
      <c r="F924" s="595"/>
      <c r="G924" s="595"/>
      <c r="H924" s="716"/>
      <c r="I924" s="716"/>
      <c r="J924" s="716"/>
      <c r="K924" s="626"/>
      <c r="L924" s="592"/>
      <c r="M924" s="592"/>
      <c r="N924" s="626"/>
      <c r="O924" s="876"/>
      <c r="P924" s="876"/>
      <c r="Q924" s="876"/>
    </row>
    <row r="925" spans="1:17" ht="15.75" thickBot="1">
      <c r="A925" s="859"/>
      <c r="B925" s="639"/>
      <c r="C925" s="639"/>
      <c r="D925" s="639"/>
      <c r="E925" s="639"/>
      <c r="F925" s="846"/>
      <c r="G925" s="577" t="s">
        <v>1909</v>
      </c>
      <c r="H925" s="872"/>
      <c r="I925" s="873"/>
      <c r="J925" s="641"/>
      <c r="K925" s="638"/>
      <c r="L925" s="845"/>
      <c r="M925" s="939"/>
      <c r="N925" s="638"/>
      <c r="O925" s="641"/>
      <c r="P925" s="641"/>
      <c r="Q925" s="642"/>
    </row>
    <row r="926" spans="1:17" ht="15.75" thickBot="1">
      <c r="A926" s="833"/>
      <c r="B926" s="355"/>
      <c r="C926" s="355"/>
      <c r="D926" s="355"/>
      <c r="E926" s="355"/>
      <c r="F926" s="356"/>
      <c r="G926" s="576"/>
      <c r="H926" s="371"/>
      <c r="I926" s="938"/>
      <c r="J926" s="371"/>
      <c r="K926" s="371"/>
      <c r="L926" s="372"/>
      <c r="M926" s="372"/>
      <c r="N926" s="371"/>
      <c r="O926" s="406"/>
      <c r="P926" s="406"/>
      <c r="Q926" s="857"/>
    </row>
    <row r="927" spans="1:17" ht="60" customHeight="1">
      <c r="A927" s="1562" t="s">
        <v>1452</v>
      </c>
      <c r="B927" s="1538" t="s">
        <v>676</v>
      </c>
      <c r="C927" s="1564" t="s">
        <v>610</v>
      </c>
      <c r="D927" s="1538" t="s">
        <v>611</v>
      </c>
      <c r="E927" s="1538" t="s">
        <v>1453</v>
      </c>
      <c r="F927" s="1472" t="s">
        <v>159</v>
      </c>
      <c r="G927" s="1509" t="s">
        <v>110</v>
      </c>
      <c r="H927" s="1477" t="s">
        <v>316</v>
      </c>
      <c r="I927" s="1472" t="s">
        <v>315</v>
      </c>
      <c r="J927" s="1472" t="s">
        <v>317</v>
      </c>
      <c r="K927" s="1472" t="s">
        <v>318</v>
      </c>
      <c r="L927" s="569" t="s">
        <v>1443</v>
      </c>
      <c r="M927" s="569" t="s">
        <v>1444</v>
      </c>
      <c r="N927" s="752" t="s">
        <v>1445</v>
      </c>
      <c r="O927" s="1477" t="s">
        <v>1673</v>
      </c>
      <c r="P927" s="1477" t="s">
        <v>1307</v>
      </c>
      <c r="Q927" s="1495" t="s">
        <v>1454</v>
      </c>
    </row>
    <row r="928" spans="1:17" ht="15.75" thickBot="1">
      <c r="A928" s="1563"/>
      <c r="B928" s="1539"/>
      <c r="C928" s="1565"/>
      <c r="D928" s="1539"/>
      <c r="E928" s="1539"/>
      <c r="F928" s="1473"/>
      <c r="G928" s="1510"/>
      <c r="H928" s="1478"/>
      <c r="I928" s="1473"/>
      <c r="J928" s="1473"/>
      <c r="K928" s="1473"/>
      <c r="L928" s="570" t="s">
        <v>805</v>
      </c>
      <c r="M928" s="570" t="s">
        <v>805</v>
      </c>
      <c r="N928" s="753" t="s">
        <v>1149</v>
      </c>
      <c r="O928" s="1478"/>
      <c r="P928" s="1478"/>
      <c r="Q928" s="1496"/>
    </row>
    <row r="929" spans="1:19" ht="30" customHeight="1">
      <c r="A929" s="1652" t="s">
        <v>654</v>
      </c>
      <c r="B929" s="1613" t="s">
        <v>1485</v>
      </c>
      <c r="C929" s="1611" t="s">
        <v>2033</v>
      </c>
      <c r="D929" s="1681">
        <v>2091</v>
      </c>
      <c r="E929" s="1610" t="s">
        <v>1451</v>
      </c>
      <c r="F929" s="757" t="s">
        <v>322</v>
      </c>
      <c r="G929" s="423" t="s">
        <v>353</v>
      </c>
      <c r="H929" s="414" t="s">
        <v>160</v>
      </c>
      <c r="I929" s="756">
        <v>1300</v>
      </c>
      <c r="J929" s="756">
        <f>'preturi unitare'!H22</f>
        <v>64</v>
      </c>
      <c r="K929" s="756">
        <f t="shared" ref="K929:K933" si="81">I929*J929</f>
        <v>83200</v>
      </c>
      <c r="L929" s="411">
        <f t="shared" ref="L929:L933" si="82">K929</f>
        <v>83200</v>
      </c>
      <c r="M929" s="411">
        <v>0</v>
      </c>
      <c r="N929" s="424">
        <v>0</v>
      </c>
      <c r="O929" s="756">
        <f>L929</f>
        <v>83200</v>
      </c>
      <c r="P929" s="1463">
        <f>SUM(O929:O930)/D929</f>
        <v>58.153993304638931</v>
      </c>
      <c r="Q929" s="1497" t="s">
        <v>1638</v>
      </c>
    </row>
    <row r="930" spans="1:19" s="382" customFormat="1" ht="50.25" customHeight="1">
      <c r="A930" s="1653"/>
      <c r="B930" s="1614"/>
      <c r="C930" s="1612"/>
      <c r="D930" s="1598"/>
      <c r="E930" s="1607"/>
      <c r="F930" s="762" t="s">
        <v>322</v>
      </c>
      <c r="G930" s="329" t="s">
        <v>354</v>
      </c>
      <c r="H930" s="807" t="s">
        <v>160</v>
      </c>
      <c r="I930" s="776">
        <v>600</v>
      </c>
      <c r="J930" s="776">
        <f>J929</f>
        <v>64</v>
      </c>
      <c r="K930" s="776">
        <f t="shared" si="81"/>
        <v>38400</v>
      </c>
      <c r="L930" s="334">
        <f t="shared" si="82"/>
        <v>38400</v>
      </c>
      <c r="M930" s="334">
        <v>0</v>
      </c>
      <c r="N930" s="377">
        <v>0</v>
      </c>
      <c r="O930" s="776">
        <f>L930</f>
        <v>38400</v>
      </c>
      <c r="P930" s="1465"/>
      <c r="Q930" s="1499"/>
    </row>
    <row r="931" spans="1:19" s="382" customFormat="1" ht="30" customHeight="1">
      <c r="A931" s="1653"/>
      <c r="B931" s="1614"/>
      <c r="C931" s="1655" t="s">
        <v>655</v>
      </c>
      <c r="D931" s="1577">
        <v>1474</v>
      </c>
      <c r="E931" s="1606" t="s">
        <v>1451</v>
      </c>
      <c r="F931" s="762" t="s">
        <v>322</v>
      </c>
      <c r="G931" s="362" t="s">
        <v>882</v>
      </c>
      <c r="H931" s="807" t="s">
        <v>160</v>
      </c>
      <c r="I931" s="776">
        <v>10000</v>
      </c>
      <c r="J931" s="776">
        <f>'preturi unitare'!H22</f>
        <v>64</v>
      </c>
      <c r="K931" s="1296">
        <f t="shared" si="81"/>
        <v>640000</v>
      </c>
      <c r="L931" s="334">
        <f t="shared" si="82"/>
        <v>640000</v>
      </c>
      <c r="M931" s="334">
        <v>0</v>
      </c>
      <c r="N931" s="377">
        <v>0</v>
      </c>
      <c r="O931" s="1483">
        <f>SUM(L931:L933)</f>
        <v>1135000</v>
      </c>
      <c r="P931" s="1483">
        <f>O931/D931</f>
        <v>770.01356852103117</v>
      </c>
      <c r="Q931" s="1581" t="s">
        <v>1639</v>
      </c>
    </row>
    <row r="932" spans="1:19" s="382" customFormat="1" ht="30">
      <c r="A932" s="1653"/>
      <c r="B932" s="1614"/>
      <c r="C932" s="1655"/>
      <c r="D932" s="1577"/>
      <c r="E932" s="1627"/>
      <c r="F932" s="1298" t="s">
        <v>321</v>
      </c>
      <c r="G932" s="1174" t="s">
        <v>2096</v>
      </c>
      <c r="H932" s="1" t="s">
        <v>280</v>
      </c>
      <c r="I932" s="310">
        <v>6</v>
      </c>
      <c r="J932" s="776">
        <f>'preturi unitare'!H5</f>
        <v>70000</v>
      </c>
      <c r="K932" s="776">
        <f>I932*J932</f>
        <v>420000</v>
      </c>
      <c r="L932" s="334">
        <f>K932</f>
        <v>420000</v>
      </c>
      <c r="M932" s="334">
        <v>0</v>
      </c>
      <c r="N932" s="385">
        <v>0</v>
      </c>
      <c r="O932" s="1483"/>
      <c r="P932" s="1483"/>
      <c r="Q932" s="1636"/>
    </row>
    <row r="933" spans="1:19" s="382" customFormat="1" ht="32.25">
      <c r="A933" s="1654"/>
      <c r="B933" s="1612"/>
      <c r="C933" s="1655"/>
      <c r="D933" s="1577"/>
      <c r="E933" s="1598"/>
      <c r="F933" s="762" t="s">
        <v>279</v>
      </c>
      <c r="G933" s="329" t="s">
        <v>883</v>
      </c>
      <c r="H933" s="653" t="s">
        <v>280</v>
      </c>
      <c r="I933" s="776">
        <v>1</v>
      </c>
      <c r="J933" s="776">
        <f>'preturi unitare'!E25+'preturi unitare'!E6</f>
        <v>75000</v>
      </c>
      <c r="K933" s="776">
        <f t="shared" si="81"/>
        <v>75000</v>
      </c>
      <c r="L933" s="334">
        <f t="shared" si="82"/>
        <v>75000</v>
      </c>
      <c r="M933" s="334">
        <v>0</v>
      </c>
      <c r="N933" s="377">
        <v>0</v>
      </c>
      <c r="O933" s="1483"/>
      <c r="P933" s="1483"/>
      <c r="Q933" s="1637"/>
    </row>
    <row r="934" spans="1:19">
      <c r="A934" s="820"/>
      <c r="B934" s="326"/>
      <c r="C934" s="390"/>
      <c r="D934" s="388"/>
      <c r="E934" s="388"/>
      <c r="F934" s="390"/>
      <c r="G934" s="326"/>
      <c r="H934" s="326"/>
      <c r="I934" s="776"/>
      <c r="J934" s="776"/>
      <c r="K934" s="776"/>
      <c r="L934" s="334"/>
      <c r="M934" s="334"/>
      <c r="N934" s="377"/>
      <c r="O934" s="405"/>
      <c r="P934" s="405"/>
      <c r="Q934" s="587"/>
    </row>
    <row r="935" spans="1:19">
      <c r="A935" s="1529" t="s">
        <v>1861</v>
      </c>
      <c r="B935" s="1530"/>
      <c r="C935" s="1530"/>
      <c r="D935" s="1530"/>
      <c r="E935" s="1530"/>
      <c r="F935" s="1530"/>
      <c r="G935" s="1531"/>
      <c r="H935" s="793"/>
      <c r="I935" s="776"/>
      <c r="J935" s="776"/>
      <c r="K935" s="364">
        <f>SUM(K929:K933)</f>
        <v>1256600</v>
      </c>
      <c r="L935" s="365">
        <f>SUM(L929:L933)</f>
        <v>1256600</v>
      </c>
      <c r="M935" s="365">
        <f>SUM(M929:M933)</f>
        <v>0</v>
      </c>
      <c r="N935" s="408">
        <f>SUM(N929:N933)</f>
        <v>0</v>
      </c>
      <c r="O935" s="415"/>
      <c r="P935" s="387"/>
      <c r="Q935" s="587"/>
      <c r="S935" s="629"/>
    </row>
    <row r="936" spans="1:19" ht="15.75" thickBot="1">
      <c r="A936" s="833"/>
      <c r="B936" s="397"/>
      <c r="C936" s="397"/>
      <c r="D936" s="397"/>
      <c r="E936" s="397"/>
      <c r="F936" s="766"/>
      <c r="G936" s="417"/>
      <c r="H936" s="732"/>
      <c r="I936" s="732"/>
      <c r="J936" s="732"/>
      <c r="K936" s="732"/>
      <c r="L936" s="426"/>
      <c r="M936" s="426"/>
      <c r="N936" s="418"/>
      <c r="O936" s="406"/>
      <c r="P936" s="406"/>
      <c r="Q936" s="857"/>
    </row>
    <row r="937" spans="1:19" s="382" customFormat="1" ht="60" customHeight="1">
      <c r="A937" s="1542" t="s">
        <v>632</v>
      </c>
      <c r="B937" s="1544" t="s">
        <v>617</v>
      </c>
      <c r="C937" s="1538" t="s">
        <v>610</v>
      </c>
      <c r="D937" s="1538" t="s">
        <v>611</v>
      </c>
      <c r="E937" s="1538" t="s">
        <v>1453</v>
      </c>
      <c r="F937" s="1472" t="s">
        <v>159</v>
      </c>
      <c r="G937" s="1509" t="s">
        <v>110</v>
      </c>
      <c r="H937" s="1477" t="s">
        <v>316</v>
      </c>
      <c r="I937" s="1472" t="s">
        <v>315</v>
      </c>
      <c r="J937" s="1472" t="s">
        <v>317</v>
      </c>
      <c r="K937" s="1472" t="s">
        <v>318</v>
      </c>
      <c r="L937" s="569" t="s">
        <v>1443</v>
      </c>
      <c r="M937" s="569" t="s">
        <v>1444</v>
      </c>
      <c r="N937" s="752" t="s">
        <v>1445</v>
      </c>
      <c r="O937" s="1477" t="s">
        <v>1673</v>
      </c>
      <c r="P937" s="1477" t="s">
        <v>1307</v>
      </c>
      <c r="Q937" s="1495" t="s">
        <v>1454</v>
      </c>
    </row>
    <row r="938" spans="1:19" s="382" customFormat="1" ht="15.75" thickBot="1">
      <c r="A938" s="1543"/>
      <c r="B938" s="1545"/>
      <c r="C938" s="1539"/>
      <c r="D938" s="1539"/>
      <c r="E938" s="1539"/>
      <c r="F938" s="1473"/>
      <c r="G938" s="1510"/>
      <c r="H938" s="1478"/>
      <c r="I938" s="1473"/>
      <c r="J938" s="1473"/>
      <c r="K938" s="1473"/>
      <c r="L938" s="570" t="s">
        <v>805</v>
      </c>
      <c r="M938" s="570" t="s">
        <v>805</v>
      </c>
      <c r="N938" s="753" t="s">
        <v>1149</v>
      </c>
      <c r="O938" s="1478"/>
      <c r="P938" s="1478"/>
      <c r="Q938" s="1496"/>
    </row>
    <row r="939" spans="1:19" ht="30" customHeight="1">
      <c r="A939" s="1652" t="s">
        <v>654</v>
      </c>
      <c r="B939" s="1599" t="s">
        <v>1451</v>
      </c>
      <c r="C939" s="1599" t="s">
        <v>656</v>
      </c>
      <c r="D939" s="1607">
        <v>2091</v>
      </c>
      <c r="E939" s="1628">
        <f>D939*1.1</f>
        <v>2300.1000000000004</v>
      </c>
      <c r="F939" s="1467" t="s">
        <v>325</v>
      </c>
      <c r="G939" s="423" t="s">
        <v>355</v>
      </c>
      <c r="H939" s="414" t="s">
        <v>160</v>
      </c>
      <c r="I939" s="756">
        <v>5500</v>
      </c>
      <c r="J939" s="756">
        <f>'preturi unitare'!H40</f>
        <v>154</v>
      </c>
      <c r="K939" s="756">
        <f>I939*J939</f>
        <v>847000</v>
      </c>
      <c r="L939" s="411">
        <f>K939</f>
        <v>847000</v>
      </c>
      <c r="M939" s="411">
        <v>0</v>
      </c>
      <c r="N939" s="756">
        <v>0</v>
      </c>
      <c r="O939" s="1465">
        <f>SUM(L939:L940)</f>
        <v>1155000</v>
      </c>
      <c r="P939" s="1465">
        <f>O939/D939</f>
        <v>552.36728837876615</v>
      </c>
      <c r="Q939" s="1497" t="s">
        <v>1640</v>
      </c>
    </row>
    <row r="940" spans="1:19" s="382" customFormat="1" ht="44.25" customHeight="1">
      <c r="A940" s="1653"/>
      <c r="B940" s="1701"/>
      <c r="C940" s="1567"/>
      <c r="D940" s="1602"/>
      <c r="E940" s="1607"/>
      <c r="F940" s="1468"/>
      <c r="G940" s="329" t="s">
        <v>356</v>
      </c>
      <c r="H940" s="807" t="s">
        <v>160</v>
      </c>
      <c r="I940" s="776">
        <v>2000</v>
      </c>
      <c r="J940" s="776">
        <f>J939</f>
        <v>154</v>
      </c>
      <c r="K940" s="776">
        <f>I940*J940</f>
        <v>308000</v>
      </c>
      <c r="L940" s="334">
        <f>K940</f>
        <v>308000</v>
      </c>
      <c r="M940" s="334">
        <v>0</v>
      </c>
      <c r="N940" s="776">
        <v>0</v>
      </c>
      <c r="O940" s="1482"/>
      <c r="P940" s="1482"/>
      <c r="Q940" s="1499"/>
    </row>
    <row r="941" spans="1:19" s="382" customFormat="1" ht="30">
      <c r="A941" s="1653"/>
      <c r="B941" s="1567" t="s">
        <v>1451</v>
      </c>
      <c r="C941" s="1488" t="s">
        <v>655</v>
      </c>
      <c r="D941" s="1577">
        <f>D931</f>
        <v>1474</v>
      </c>
      <c r="E941" s="1629">
        <f>D941</f>
        <v>1474</v>
      </c>
      <c r="F941" s="762" t="s">
        <v>323</v>
      </c>
      <c r="G941" s="362" t="s">
        <v>884</v>
      </c>
      <c r="H941" s="807" t="s">
        <v>280</v>
      </c>
      <c r="I941" s="776">
        <v>1</v>
      </c>
      <c r="J941" s="776">
        <f>'preturi unitare'!O31</f>
        <v>214000</v>
      </c>
      <c r="K941" s="776">
        <f>I941*J941</f>
        <v>214000</v>
      </c>
      <c r="L941" s="334">
        <v>0</v>
      </c>
      <c r="M941" s="334">
        <f>K941</f>
        <v>214000</v>
      </c>
      <c r="N941" s="776">
        <v>0</v>
      </c>
      <c r="O941" s="1483">
        <f>SUM(K941:K943)</f>
        <v>1935000</v>
      </c>
      <c r="P941" s="1483">
        <f>O941/D941</f>
        <v>1312.7544097693351</v>
      </c>
      <c r="Q941" s="1581" t="s">
        <v>1527</v>
      </c>
    </row>
    <row r="942" spans="1:19" s="382" customFormat="1" ht="30">
      <c r="A942" s="1653"/>
      <c r="B942" s="1701"/>
      <c r="C942" s="1488"/>
      <c r="D942" s="1577"/>
      <c r="E942" s="1627"/>
      <c r="F942" s="762" t="s">
        <v>324</v>
      </c>
      <c r="G942" s="362" t="s">
        <v>885</v>
      </c>
      <c r="H942" s="807" t="s">
        <v>280</v>
      </c>
      <c r="I942" s="776">
        <v>5</v>
      </c>
      <c r="J942" s="776">
        <f>J200</f>
        <v>67000</v>
      </c>
      <c r="K942" s="776">
        <f>I942*J942</f>
        <v>335000</v>
      </c>
      <c r="L942" s="334">
        <v>0</v>
      </c>
      <c r="M942" s="334">
        <f>K942</f>
        <v>335000</v>
      </c>
      <c r="N942" s="1283">
        <v>0</v>
      </c>
      <c r="O942" s="1483"/>
      <c r="P942" s="1483"/>
      <c r="Q942" s="1636"/>
    </row>
    <row r="943" spans="1:19" s="382" customFormat="1" ht="30">
      <c r="A943" s="1654"/>
      <c r="B943" s="1701"/>
      <c r="C943" s="1488"/>
      <c r="D943" s="1577"/>
      <c r="E943" s="1598"/>
      <c r="F943" s="1289" t="s">
        <v>325</v>
      </c>
      <c r="G943" s="362" t="s">
        <v>886</v>
      </c>
      <c r="H943" s="807" t="s">
        <v>160</v>
      </c>
      <c r="I943" s="776">
        <v>9000</v>
      </c>
      <c r="J943" s="776">
        <f>J940</f>
        <v>154</v>
      </c>
      <c r="K943" s="776">
        <f>I943*J943</f>
        <v>1386000</v>
      </c>
      <c r="L943" s="334">
        <v>0</v>
      </c>
      <c r="M943" s="334">
        <f>K943</f>
        <v>1386000</v>
      </c>
      <c r="N943" s="1283">
        <v>0</v>
      </c>
      <c r="O943" s="1483"/>
      <c r="P943" s="1483"/>
      <c r="Q943" s="1637"/>
    </row>
    <row r="944" spans="1:19" s="378" customFormat="1">
      <c r="A944" s="820"/>
      <c r="B944" s="761"/>
      <c r="C944" s="761"/>
      <c r="D944" s="761"/>
      <c r="E944" s="761"/>
      <c r="F944" s="762"/>
      <c r="G944" s="384"/>
      <c r="H944" s="776"/>
      <c r="I944" s="776"/>
      <c r="J944" s="776"/>
      <c r="K944" s="776"/>
      <c r="L944" s="334"/>
      <c r="M944" s="334"/>
      <c r="N944" s="776"/>
      <c r="O944" s="405"/>
      <c r="P944" s="405"/>
      <c r="Q944" s="587"/>
    </row>
    <row r="945" spans="1:19">
      <c r="A945" s="1532" t="s">
        <v>351</v>
      </c>
      <c r="B945" s="1533"/>
      <c r="C945" s="1533"/>
      <c r="D945" s="1533"/>
      <c r="E945" s="1533"/>
      <c r="F945" s="1533"/>
      <c r="G945" s="1534"/>
      <c r="H945" s="364"/>
      <c r="I945" s="364"/>
      <c r="J945" s="364"/>
      <c r="K945" s="364">
        <f>SUM(K939:K943)</f>
        <v>3090000</v>
      </c>
      <c r="L945" s="365">
        <f>SUM(L939:L943)</f>
        <v>1155000</v>
      </c>
      <c r="M945" s="365">
        <f>SUM(M939:M943)</f>
        <v>1935000</v>
      </c>
      <c r="N945" s="364">
        <f>SUM(N939:N943)</f>
        <v>0</v>
      </c>
      <c r="O945" s="415"/>
      <c r="P945" s="387"/>
      <c r="Q945" s="587"/>
    </row>
    <row r="946" spans="1:19">
      <c r="A946" s="820"/>
      <c r="B946" s="782"/>
      <c r="C946" s="782"/>
      <c r="D946" s="782"/>
      <c r="E946" s="782"/>
      <c r="F946" s="762"/>
      <c r="G946" s="328"/>
      <c r="H946" s="776"/>
      <c r="I946" s="776"/>
      <c r="J946" s="776"/>
      <c r="K946" s="776"/>
      <c r="L946" s="334"/>
      <c r="M946" s="334"/>
      <c r="N946" s="776"/>
      <c r="O946" s="415"/>
      <c r="P946" s="387"/>
      <c r="Q946" s="587"/>
    </row>
    <row r="947" spans="1:19" ht="15" customHeight="1" thickBot="1">
      <c r="A947" s="1474" t="s">
        <v>352</v>
      </c>
      <c r="B947" s="1475"/>
      <c r="C947" s="1475"/>
      <c r="D947" s="1475"/>
      <c r="E947" s="1475"/>
      <c r="F947" s="1475"/>
      <c r="G947" s="1476"/>
      <c r="H947" s="581"/>
      <c r="I947" s="581"/>
      <c r="J947" s="581"/>
      <c r="K947" s="582">
        <f>K935+K945</f>
        <v>4346600</v>
      </c>
      <c r="L947" s="583">
        <f>L935+L945</f>
        <v>2411600</v>
      </c>
      <c r="M947" s="583">
        <f>M935+M945</f>
        <v>1935000</v>
      </c>
      <c r="N947" s="582">
        <f>N935+N945</f>
        <v>0</v>
      </c>
      <c r="O947" s="580"/>
      <c r="P947" s="580"/>
      <c r="Q947" s="816"/>
    </row>
    <row r="948" spans="1:19" s="382" customFormat="1" ht="15.75" thickBot="1">
      <c r="A948" s="586"/>
      <c r="B948" s="871"/>
      <c r="C948" s="871"/>
      <c r="D948" s="871"/>
      <c r="E948" s="871"/>
      <c r="F948" s="595"/>
      <c r="G948" s="595"/>
      <c r="H948" s="716"/>
      <c r="I948" s="716"/>
      <c r="J948" s="716"/>
      <c r="K948" s="626"/>
      <c r="L948" s="592"/>
      <c r="M948" s="592"/>
      <c r="N948" s="626"/>
      <c r="O948" s="586"/>
      <c r="P948" s="586"/>
      <c r="Q948" s="586"/>
    </row>
    <row r="949" spans="1:19" ht="15.75" thickBot="1">
      <c r="A949" s="859"/>
      <c r="B949" s="639"/>
      <c r="C949" s="639"/>
      <c r="D949" s="639"/>
      <c r="E949" s="639"/>
      <c r="F949" s="846"/>
      <c r="G949" s="577" t="s">
        <v>1910</v>
      </c>
      <c r="H949" s="872"/>
      <c r="I949" s="873"/>
      <c r="J949" s="641"/>
      <c r="K949" s="638"/>
      <c r="L949" s="845"/>
      <c r="M949" s="845"/>
      <c r="N949" s="638"/>
      <c r="O949" s="641"/>
      <c r="P949" s="940"/>
      <c r="Q949" s="642"/>
    </row>
    <row r="950" spans="1:19" ht="15.75" thickBot="1">
      <c r="A950" s="833"/>
      <c r="B950" s="355"/>
      <c r="C950" s="355"/>
      <c r="D950" s="355"/>
      <c r="E950" s="355"/>
      <c r="F950" s="356"/>
      <c r="G950" s="576"/>
      <c r="H950" s="371"/>
      <c r="I950" s="371"/>
      <c r="J950" s="371"/>
      <c r="K950" s="371"/>
      <c r="L950" s="372"/>
      <c r="M950" s="372"/>
      <c r="N950" s="371"/>
      <c r="O950" s="406"/>
      <c r="P950" s="406"/>
      <c r="Q950" s="857"/>
    </row>
    <row r="951" spans="1:19" ht="60" customHeight="1">
      <c r="A951" s="1562" t="s">
        <v>1452</v>
      </c>
      <c r="B951" s="1538" t="s">
        <v>676</v>
      </c>
      <c r="C951" s="1564" t="s">
        <v>610</v>
      </c>
      <c r="D951" s="1538" t="s">
        <v>611</v>
      </c>
      <c r="E951" s="1538" t="s">
        <v>1453</v>
      </c>
      <c r="F951" s="1472" t="s">
        <v>159</v>
      </c>
      <c r="G951" s="1509" t="s">
        <v>110</v>
      </c>
      <c r="H951" s="1477" t="s">
        <v>316</v>
      </c>
      <c r="I951" s="1472" t="s">
        <v>315</v>
      </c>
      <c r="J951" s="1472" t="s">
        <v>317</v>
      </c>
      <c r="K951" s="1472" t="s">
        <v>318</v>
      </c>
      <c r="L951" s="569" t="s">
        <v>1443</v>
      </c>
      <c r="M951" s="569" t="s">
        <v>1444</v>
      </c>
      <c r="N951" s="752" t="s">
        <v>1445</v>
      </c>
      <c r="O951" s="1477" t="s">
        <v>1673</v>
      </c>
      <c r="P951" s="1477" t="s">
        <v>1307</v>
      </c>
      <c r="Q951" s="1495" t="s">
        <v>1454</v>
      </c>
    </row>
    <row r="952" spans="1:19" ht="15.75" thickBot="1">
      <c r="A952" s="1563"/>
      <c r="B952" s="1539"/>
      <c r="C952" s="1565"/>
      <c r="D952" s="1539"/>
      <c r="E952" s="1539"/>
      <c r="F952" s="1473"/>
      <c r="G952" s="1510"/>
      <c r="H952" s="1478"/>
      <c r="I952" s="1473"/>
      <c r="J952" s="1473"/>
      <c r="K952" s="1473"/>
      <c r="L952" s="570" t="s">
        <v>805</v>
      </c>
      <c r="M952" s="570" t="s">
        <v>805</v>
      </c>
      <c r="N952" s="753" t="s">
        <v>1149</v>
      </c>
      <c r="O952" s="1478"/>
      <c r="P952" s="1478"/>
      <c r="Q952" s="1496"/>
    </row>
    <row r="953" spans="1:19" ht="30">
      <c r="A953" s="1652" t="s">
        <v>1491</v>
      </c>
      <c r="B953" s="1599" t="s">
        <v>1487</v>
      </c>
      <c r="C953" s="1589" t="s">
        <v>658</v>
      </c>
      <c r="D953" s="1598">
        <v>144</v>
      </c>
      <c r="E953" s="1628" t="s">
        <v>1451</v>
      </c>
      <c r="F953" s="757" t="s">
        <v>140</v>
      </c>
      <c r="G953" s="412" t="s">
        <v>887</v>
      </c>
      <c r="H953" s="422" t="s">
        <v>280</v>
      </c>
      <c r="I953" s="756">
        <v>1</v>
      </c>
      <c r="J953" s="756">
        <f>'preturi unitare'!K4</f>
        <v>89000</v>
      </c>
      <c r="K953" s="756">
        <f>I953*J953</f>
        <v>89000</v>
      </c>
      <c r="L953" s="411">
        <f>K953</f>
        <v>89000</v>
      </c>
      <c r="M953" s="411">
        <v>0</v>
      </c>
      <c r="N953" s="424">
        <v>0</v>
      </c>
      <c r="O953" s="1484">
        <f>SUM(L953:L955)</f>
        <v>140500</v>
      </c>
      <c r="P953" s="1484">
        <f>O953/D953</f>
        <v>975.69444444444446</v>
      </c>
      <c r="Q953" s="1572" t="s">
        <v>1641</v>
      </c>
    </row>
    <row r="954" spans="1:19" s="382" customFormat="1" ht="30">
      <c r="A954" s="1653"/>
      <c r="B954" s="1701"/>
      <c r="C954" s="1590"/>
      <c r="D954" s="1577"/>
      <c r="E954" s="1627"/>
      <c r="F954" s="762" t="s">
        <v>322</v>
      </c>
      <c r="G954" s="362" t="s">
        <v>357</v>
      </c>
      <c r="H954" s="807" t="s">
        <v>160</v>
      </c>
      <c r="I954" s="776">
        <v>2400</v>
      </c>
      <c r="J954" s="776">
        <f>J929</f>
        <v>64</v>
      </c>
      <c r="K954" s="776">
        <f>I954*J954</f>
        <v>153600</v>
      </c>
      <c r="L954" s="334">
        <v>0</v>
      </c>
      <c r="M954" s="334">
        <f>K954</f>
        <v>153600</v>
      </c>
      <c r="N954" s="385">
        <v>0</v>
      </c>
      <c r="O954" s="1483"/>
      <c r="P954" s="1483"/>
      <c r="Q954" s="1636"/>
    </row>
    <row r="955" spans="1:19" s="382" customFormat="1" ht="49.5" customHeight="1">
      <c r="A955" s="1654"/>
      <c r="B955" s="1701"/>
      <c r="C955" s="1590"/>
      <c r="D955" s="1577"/>
      <c r="E955" s="1598"/>
      <c r="F955" s="762" t="s">
        <v>279</v>
      </c>
      <c r="G955" s="329" t="s">
        <v>888</v>
      </c>
      <c r="H955" s="653" t="s">
        <v>280</v>
      </c>
      <c r="I955" s="776">
        <v>1</v>
      </c>
      <c r="J955" s="776">
        <f>'preturi unitare'!E23+'preturi unitare'!E6</f>
        <v>51500</v>
      </c>
      <c r="K955" s="776">
        <f>I955*J955</f>
        <v>51500</v>
      </c>
      <c r="L955" s="334">
        <f>K955</f>
        <v>51500</v>
      </c>
      <c r="M955" s="334">
        <v>0</v>
      </c>
      <c r="N955" s="377">
        <v>0</v>
      </c>
      <c r="O955" s="1483"/>
      <c r="P955" s="1483"/>
      <c r="Q955" s="1637"/>
    </row>
    <row r="956" spans="1:19">
      <c r="A956" s="820"/>
      <c r="B956" s="326"/>
      <c r="C956" s="326"/>
      <c r="D956" s="326"/>
      <c r="E956" s="326"/>
      <c r="F956" s="326"/>
      <c r="G956" s="326"/>
      <c r="H956" s="326"/>
      <c r="I956" s="776"/>
      <c r="J956" s="776"/>
      <c r="K956" s="776"/>
      <c r="L956" s="334"/>
      <c r="M956" s="334"/>
      <c r="N956" s="377"/>
      <c r="O956" s="405"/>
      <c r="P956" s="405"/>
      <c r="Q956" s="587"/>
    </row>
    <row r="957" spans="1:19">
      <c r="A957" s="1469" t="s">
        <v>659</v>
      </c>
      <c r="B957" s="1470"/>
      <c r="C957" s="1470"/>
      <c r="D957" s="1470"/>
      <c r="E957" s="1470"/>
      <c r="F957" s="1470"/>
      <c r="G957" s="1471"/>
      <c r="H957" s="793"/>
      <c r="I957" s="776"/>
      <c r="J957" s="776"/>
      <c r="K957" s="364">
        <f>SUM(K953:K955)</f>
        <v>294100</v>
      </c>
      <c r="L957" s="365">
        <f>SUM(L953:L955)</f>
        <v>140500</v>
      </c>
      <c r="M957" s="365">
        <f>SUM(M953:M955)</f>
        <v>153600</v>
      </c>
      <c r="N957" s="812">
        <f>SUM(N953:N955)</f>
        <v>0</v>
      </c>
      <c r="O957" s="415"/>
      <c r="P957" s="387"/>
      <c r="Q957" s="587"/>
      <c r="S957" s="629"/>
    </row>
    <row r="958" spans="1:19">
      <c r="A958" s="820"/>
      <c r="B958" s="782"/>
      <c r="C958" s="782"/>
      <c r="D958" s="782"/>
      <c r="E958" s="782"/>
      <c r="F958" s="762"/>
      <c r="G958" s="328"/>
      <c r="H958" s="776"/>
      <c r="I958" s="776"/>
      <c r="J958" s="776"/>
      <c r="K958" s="776"/>
      <c r="L958" s="365"/>
      <c r="M958" s="365"/>
      <c r="N958" s="794"/>
      <c r="O958" s="405"/>
      <c r="P958" s="405"/>
      <c r="Q958" s="587"/>
    </row>
    <row r="959" spans="1:19" ht="15" customHeight="1" thickBot="1">
      <c r="A959" s="1474" t="s">
        <v>358</v>
      </c>
      <c r="B959" s="1475"/>
      <c r="C959" s="1475"/>
      <c r="D959" s="1475"/>
      <c r="E959" s="1475"/>
      <c r="F959" s="1475"/>
      <c r="G959" s="1476"/>
      <c r="H959" s="581"/>
      <c r="I959" s="581"/>
      <c r="J959" s="581"/>
      <c r="K959" s="582">
        <f>K957</f>
        <v>294100</v>
      </c>
      <c r="L959" s="583">
        <f>L957</f>
        <v>140500</v>
      </c>
      <c r="M959" s="583">
        <f>M957</f>
        <v>153600</v>
      </c>
      <c r="N959" s="582">
        <f>N957</f>
        <v>0</v>
      </c>
      <c r="O959" s="580"/>
      <c r="P959" s="580"/>
      <c r="Q959" s="816"/>
    </row>
    <row r="960" spans="1:19" s="382" customFormat="1" ht="15.75" thickBot="1">
      <c r="A960" s="586"/>
      <c r="B960" s="871"/>
      <c r="C960" s="871"/>
      <c r="D960" s="871"/>
      <c r="E960" s="871"/>
      <c r="F960" s="595"/>
      <c r="G960" s="595"/>
      <c r="H960" s="716"/>
      <c r="I960" s="716"/>
      <c r="J960" s="716"/>
      <c r="K960" s="626"/>
      <c r="L960" s="592"/>
      <c r="M960" s="592"/>
      <c r="N960" s="626"/>
      <c r="O960" s="586"/>
      <c r="P960" s="586"/>
      <c r="Q960" s="586"/>
    </row>
    <row r="961" spans="1:19" ht="15.75" thickBot="1">
      <c r="A961" s="859"/>
      <c r="B961" s="639"/>
      <c r="C961" s="639"/>
      <c r="D961" s="639"/>
      <c r="E961" s="639"/>
      <c r="F961" s="846"/>
      <c r="G961" s="577" t="s">
        <v>1911</v>
      </c>
      <c r="H961" s="872"/>
      <c r="I961" s="873"/>
      <c r="J961" s="641"/>
      <c r="K961" s="638"/>
      <c r="L961" s="845"/>
      <c r="M961" s="845"/>
      <c r="N961" s="638"/>
      <c r="O961" s="641"/>
      <c r="P961" s="641"/>
      <c r="Q961" s="642"/>
    </row>
    <row r="962" spans="1:19" ht="15.75" thickBot="1">
      <c r="A962" s="833"/>
      <c r="B962" s="355"/>
      <c r="C962" s="355"/>
      <c r="D962" s="355"/>
      <c r="E962" s="355"/>
      <c r="F962" s="356"/>
      <c r="G962" s="576"/>
      <c r="H962" s="371"/>
      <c r="I962" s="371"/>
      <c r="J962" s="371"/>
      <c r="K962" s="371"/>
      <c r="L962" s="372"/>
      <c r="M962" s="372"/>
      <c r="N962" s="371"/>
      <c r="O962" s="406"/>
      <c r="P962" s="406"/>
      <c r="Q962" s="857"/>
    </row>
    <row r="963" spans="1:19" ht="60" customHeight="1">
      <c r="A963" s="1562" t="s">
        <v>1452</v>
      </c>
      <c r="B963" s="1538" t="s">
        <v>676</v>
      </c>
      <c r="C963" s="1564" t="s">
        <v>610</v>
      </c>
      <c r="D963" s="1538" t="s">
        <v>611</v>
      </c>
      <c r="E963" s="1538" t="s">
        <v>1453</v>
      </c>
      <c r="F963" s="1472" t="s">
        <v>159</v>
      </c>
      <c r="G963" s="1509" t="s">
        <v>110</v>
      </c>
      <c r="H963" s="1477" t="s">
        <v>316</v>
      </c>
      <c r="I963" s="1472" t="s">
        <v>315</v>
      </c>
      <c r="J963" s="1472" t="s">
        <v>317</v>
      </c>
      <c r="K963" s="1472" t="s">
        <v>318</v>
      </c>
      <c r="L963" s="569" t="s">
        <v>1443</v>
      </c>
      <c r="M963" s="569" t="s">
        <v>1444</v>
      </c>
      <c r="N963" s="752" t="s">
        <v>1445</v>
      </c>
      <c r="O963" s="1477" t="s">
        <v>1673</v>
      </c>
      <c r="P963" s="1477" t="s">
        <v>1307</v>
      </c>
      <c r="Q963" s="1495" t="s">
        <v>1454</v>
      </c>
    </row>
    <row r="964" spans="1:19" ht="15.75" thickBot="1">
      <c r="A964" s="1563"/>
      <c r="B964" s="1539"/>
      <c r="C964" s="1565"/>
      <c r="D964" s="1539"/>
      <c r="E964" s="1539"/>
      <c r="F964" s="1473"/>
      <c r="G964" s="1510"/>
      <c r="H964" s="1478"/>
      <c r="I964" s="1473"/>
      <c r="J964" s="1473"/>
      <c r="K964" s="1473"/>
      <c r="L964" s="570" t="s">
        <v>805</v>
      </c>
      <c r="M964" s="570" t="s">
        <v>805</v>
      </c>
      <c r="N964" s="753" t="s">
        <v>1149</v>
      </c>
      <c r="O964" s="1478"/>
      <c r="P964" s="1478"/>
      <c r="Q964" s="1496"/>
    </row>
    <row r="965" spans="1:19" ht="15.75" hidden="1" thickBot="1">
      <c r="A965" s="942"/>
      <c r="B965" s="1612" t="s">
        <v>1487</v>
      </c>
      <c r="C965" s="781"/>
      <c r="D965" s="769"/>
      <c r="E965" s="769"/>
      <c r="F965" s="757"/>
      <c r="G965" s="423"/>
      <c r="H965" s="414"/>
      <c r="I965" s="756"/>
      <c r="J965" s="756"/>
      <c r="K965" s="756"/>
      <c r="L965" s="411"/>
      <c r="M965" s="411"/>
      <c r="N965" s="430"/>
      <c r="O965" s="1068"/>
      <c r="P965" s="1068"/>
      <c r="Q965" s="943"/>
    </row>
    <row r="966" spans="1:19" s="382" customFormat="1" ht="15.75" hidden="1" thickBot="1">
      <c r="A966" s="820"/>
      <c r="B966" s="1701"/>
      <c r="C966" s="761"/>
      <c r="D966" s="763"/>
      <c r="E966" s="763"/>
      <c r="F966" s="762"/>
      <c r="G966" s="362"/>
      <c r="H966" s="807"/>
      <c r="I966" s="776"/>
      <c r="J966" s="776"/>
      <c r="K966" s="776"/>
      <c r="L966" s="334"/>
      <c r="M966" s="334"/>
      <c r="N966" s="385"/>
      <c r="O966" s="777"/>
      <c r="P966" s="777"/>
      <c r="Q966" s="587"/>
    </row>
    <row r="967" spans="1:19" s="382" customFormat="1" ht="15.75" hidden="1" thickBot="1">
      <c r="A967" s="820"/>
      <c r="B967" s="1701"/>
      <c r="C967" s="761"/>
      <c r="D967" s="763"/>
      <c r="E967" s="763"/>
      <c r="F967" s="762"/>
      <c r="G967" s="362"/>
      <c r="H967" s="807"/>
      <c r="I967" s="776"/>
      <c r="J967" s="776"/>
      <c r="K967" s="776"/>
      <c r="L967" s="334"/>
      <c r="M967" s="334"/>
      <c r="N967" s="385"/>
      <c r="O967" s="777"/>
      <c r="P967" s="777"/>
      <c r="Q967" s="587"/>
    </row>
    <row r="968" spans="1:19" s="382" customFormat="1" ht="30">
      <c r="A968" s="1762" t="s">
        <v>660</v>
      </c>
      <c r="B968" s="1701"/>
      <c r="C968" s="1625" t="s">
        <v>661</v>
      </c>
      <c r="D968" s="1629">
        <v>291</v>
      </c>
      <c r="E968" s="1606" t="s">
        <v>1451</v>
      </c>
      <c r="F968" s="762" t="s">
        <v>140</v>
      </c>
      <c r="G968" s="329" t="s">
        <v>889</v>
      </c>
      <c r="H968" s="653" t="s">
        <v>280</v>
      </c>
      <c r="I968" s="653">
        <v>1</v>
      </c>
      <c r="J968" s="653">
        <f>'preturi unitare'!K4</f>
        <v>89000</v>
      </c>
      <c r="K968" s="653">
        <f>I968*J968</f>
        <v>89000</v>
      </c>
      <c r="L968" s="401">
        <f t="shared" ref="L968:L970" si="83">K968</f>
        <v>89000</v>
      </c>
      <c r="M968" s="334">
        <v>0</v>
      </c>
      <c r="N968" s="653">
        <v>0</v>
      </c>
      <c r="O968" s="1483">
        <f>SUM(L968:L970)</f>
        <v>281300</v>
      </c>
      <c r="P968" s="1483">
        <f>O968/D968</f>
        <v>966.66666666666663</v>
      </c>
      <c r="Q968" s="1572" t="s">
        <v>1642</v>
      </c>
      <c r="R968" s="629"/>
    </row>
    <row r="969" spans="1:19" s="382" customFormat="1" ht="30">
      <c r="A969" s="1763"/>
      <c r="B969" s="1701"/>
      <c r="C969" s="1480"/>
      <c r="D969" s="1627"/>
      <c r="E969" s="1480"/>
      <c r="F969" s="762" t="s">
        <v>322</v>
      </c>
      <c r="G969" s="362" t="s">
        <v>890</v>
      </c>
      <c r="H969" s="653" t="s">
        <v>160</v>
      </c>
      <c r="I969" s="776">
        <v>2200</v>
      </c>
      <c r="J969" s="776">
        <f>'preturi unitare'!H22</f>
        <v>64</v>
      </c>
      <c r="K969" s="776">
        <f>I969*J969</f>
        <v>140800</v>
      </c>
      <c r="L969" s="334">
        <f t="shared" si="83"/>
        <v>140800</v>
      </c>
      <c r="M969" s="334">
        <v>0</v>
      </c>
      <c r="N969" s="385">
        <v>0</v>
      </c>
      <c r="O969" s="1685"/>
      <c r="P969" s="1685"/>
      <c r="Q969" s="1657"/>
    </row>
    <row r="970" spans="1:19" s="382" customFormat="1" ht="47.25">
      <c r="A970" s="1764"/>
      <c r="B970" s="1701"/>
      <c r="C970" s="1481"/>
      <c r="D970" s="1598"/>
      <c r="E970" s="1481"/>
      <c r="F970" s="762" t="s">
        <v>279</v>
      </c>
      <c r="G970" s="329" t="s">
        <v>891</v>
      </c>
      <c r="H970" s="653" t="s">
        <v>280</v>
      </c>
      <c r="I970" s="807">
        <v>1</v>
      </c>
      <c r="J970" s="807">
        <f>J955</f>
        <v>51500</v>
      </c>
      <c r="K970" s="807">
        <f>I970*J970</f>
        <v>51500</v>
      </c>
      <c r="L970" s="334">
        <f t="shared" si="83"/>
        <v>51500</v>
      </c>
      <c r="M970" s="334">
        <v>0</v>
      </c>
      <c r="N970" s="385">
        <v>0</v>
      </c>
      <c r="O970" s="1484"/>
      <c r="P970" s="1484"/>
      <c r="Q970" s="1658"/>
    </row>
    <row r="971" spans="1:19">
      <c r="A971" s="820"/>
      <c r="B971" s="326"/>
      <c r="C971" s="326"/>
      <c r="D971" s="326"/>
      <c r="E971" s="326"/>
      <c r="F971" s="326"/>
      <c r="G971" s="326"/>
      <c r="H971" s="326"/>
      <c r="I971" s="776"/>
      <c r="J971" s="776"/>
      <c r="K971" s="776"/>
      <c r="L971" s="334"/>
      <c r="M971" s="334"/>
      <c r="N971" s="326"/>
      <c r="O971" s="405"/>
      <c r="P971" s="405"/>
      <c r="Q971" s="587"/>
    </row>
    <row r="972" spans="1:19">
      <c r="A972" s="1469" t="s">
        <v>662</v>
      </c>
      <c r="B972" s="1470"/>
      <c r="C972" s="1470"/>
      <c r="D972" s="1470"/>
      <c r="E972" s="1470"/>
      <c r="F972" s="1470"/>
      <c r="G972" s="1471"/>
      <c r="H972" s="793"/>
      <c r="I972" s="776"/>
      <c r="J972" s="776"/>
      <c r="K972" s="364">
        <f>SUM(K965:K970)</f>
        <v>281300</v>
      </c>
      <c r="L972" s="365">
        <f>SUM(L965:L970)</f>
        <v>281300</v>
      </c>
      <c r="M972" s="365">
        <f>SUM(M965:M970)</f>
        <v>0</v>
      </c>
      <c r="N972" s="408">
        <f>SUM(N965:N970)</f>
        <v>0</v>
      </c>
      <c r="O972" s="415"/>
      <c r="P972" s="387"/>
      <c r="Q972" s="587"/>
      <c r="S972" s="629"/>
    </row>
    <row r="973" spans="1:19" ht="15.75" thickBot="1">
      <c r="A973" s="833"/>
      <c r="B973" s="397"/>
      <c r="C973" s="397"/>
      <c r="D973" s="397"/>
      <c r="E973" s="397"/>
      <c r="F973" s="766"/>
      <c r="G973" s="417"/>
      <c r="H973" s="732"/>
      <c r="I973" s="732"/>
      <c r="J973" s="732"/>
      <c r="K973" s="732"/>
      <c r="L973" s="426"/>
      <c r="M973" s="426"/>
      <c r="N973" s="418"/>
      <c r="O973" s="406"/>
      <c r="P973" s="406"/>
      <c r="Q973" s="857"/>
    </row>
    <row r="974" spans="1:19" s="382" customFormat="1" ht="60" customHeight="1">
      <c r="A974" s="1542" t="s">
        <v>632</v>
      </c>
      <c r="B974" s="1544" t="s">
        <v>617</v>
      </c>
      <c r="C974" s="1538" t="s">
        <v>610</v>
      </c>
      <c r="D974" s="1538" t="s">
        <v>611</v>
      </c>
      <c r="E974" s="1538" t="s">
        <v>1453</v>
      </c>
      <c r="F974" s="1472" t="s">
        <v>159</v>
      </c>
      <c r="G974" s="1509" t="s">
        <v>110</v>
      </c>
      <c r="H974" s="1477" t="s">
        <v>316</v>
      </c>
      <c r="I974" s="1472" t="s">
        <v>315</v>
      </c>
      <c r="J974" s="1472" t="s">
        <v>317</v>
      </c>
      <c r="K974" s="1472" t="s">
        <v>318</v>
      </c>
      <c r="L974" s="569" t="s">
        <v>1443</v>
      </c>
      <c r="M974" s="569" t="s">
        <v>1444</v>
      </c>
      <c r="N974" s="752" t="s">
        <v>1445</v>
      </c>
      <c r="O974" s="1477" t="s">
        <v>1673</v>
      </c>
      <c r="P974" s="1477" t="s">
        <v>1307</v>
      </c>
      <c r="Q974" s="1495" t="s">
        <v>1454</v>
      </c>
    </row>
    <row r="975" spans="1:19" s="382" customFormat="1" ht="15.75" thickBot="1">
      <c r="A975" s="1543"/>
      <c r="B975" s="1545"/>
      <c r="C975" s="1539"/>
      <c r="D975" s="1539"/>
      <c r="E975" s="1539"/>
      <c r="F975" s="1473"/>
      <c r="G975" s="1510"/>
      <c r="H975" s="1478"/>
      <c r="I975" s="1473"/>
      <c r="J975" s="1473"/>
      <c r="K975" s="1473"/>
      <c r="L975" s="570" t="s">
        <v>805</v>
      </c>
      <c r="M975" s="570" t="s">
        <v>805</v>
      </c>
      <c r="N975" s="753" t="s">
        <v>1149</v>
      </c>
      <c r="O975" s="1478"/>
      <c r="P975" s="1478"/>
      <c r="Q975" s="1496"/>
    </row>
    <row r="976" spans="1:19" s="382" customFormat="1" ht="45">
      <c r="A976" s="786" t="s">
        <v>660</v>
      </c>
      <c r="B976" s="765" t="s">
        <v>1451</v>
      </c>
      <c r="C976" s="1001" t="s">
        <v>661</v>
      </c>
      <c r="D976" s="769">
        <f>D968</f>
        <v>291</v>
      </c>
      <c r="E976" s="769">
        <f>D976</f>
        <v>291</v>
      </c>
      <c r="F976" s="757" t="s">
        <v>323</v>
      </c>
      <c r="G976" s="412" t="s">
        <v>1714</v>
      </c>
      <c r="H976" s="414" t="s">
        <v>1322</v>
      </c>
      <c r="I976" s="414">
        <v>1</v>
      </c>
      <c r="J976" s="414">
        <f>'preturi unitare'!N4</f>
        <v>70000</v>
      </c>
      <c r="K976" s="414">
        <f>I976*J976</f>
        <v>70000</v>
      </c>
      <c r="L976" s="411">
        <v>0</v>
      </c>
      <c r="M976" s="411">
        <v>0</v>
      </c>
      <c r="N976" s="756">
        <f>K976</f>
        <v>70000</v>
      </c>
      <c r="O976" s="772">
        <f>SUM(N976:N976)</f>
        <v>70000</v>
      </c>
      <c r="P976" s="772">
        <f>O976/D976</f>
        <v>240.54982817869416</v>
      </c>
      <c r="Q976" s="987" t="s">
        <v>1528</v>
      </c>
    </row>
    <row r="977" spans="1:17" s="378" customFormat="1">
      <c r="A977" s="820"/>
      <c r="B977" s="761"/>
      <c r="C977" s="761"/>
      <c r="D977" s="761"/>
      <c r="E977" s="761"/>
      <c r="F977" s="762"/>
      <c r="G977" s="384"/>
      <c r="H977" s="807"/>
      <c r="I977" s="807"/>
      <c r="J977" s="807"/>
      <c r="K977" s="807"/>
      <c r="L977" s="807"/>
      <c r="M977" s="807"/>
      <c r="N977" s="807"/>
      <c r="O977" s="405"/>
      <c r="P977" s="405"/>
      <c r="Q977" s="587"/>
    </row>
    <row r="978" spans="1:17">
      <c r="A978" s="1532" t="s">
        <v>359</v>
      </c>
      <c r="B978" s="1533"/>
      <c r="C978" s="1533"/>
      <c r="D978" s="1533"/>
      <c r="E978" s="1533"/>
      <c r="F978" s="1533"/>
      <c r="G978" s="1534"/>
      <c r="H978" s="364"/>
      <c r="I978" s="364"/>
      <c r="J978" s="364"/>
      <c r="K978" s="364">
        <f>SUM(K976:K976)</f>
        <v>70000</v>
      </c>
      <c r="L978" s="365">
        <f>SUM(L976:L976)</f>
        <v>0</v>
      </c>
      <c r="M978" s="365">
        <f>SUM(M976:M976)</f>
        <v>0</v>
      </c>
      <c r="N978" s="364">
        <f>SUM(N976:N976)</f>
        <v>70000</v>
      </c>
      <c r="O978" s="415"/>
      <c r="P978" s="415"/>
      <c r="Q978" s="587"/>
    </row>
    <row r="979" spans="1:17">
      <c r="A979" s="820"/>
      <c r="B979" s="782"/>
      <c r="C979" s="782"/>
      <c r="D979" s="782"/>
      <c r="E979" s="782"/>
      <c r="F979" s="762"/>
      <c r="G979" s="328"/>
      <c r="H979" s="776"/>
      <c r="I979" s="776"/>
      <c r="J979" s="776"/>
      <c r="K979" s="776"/>
      <c r="L979" s="334"/>
      <c r="M979" s="334"/>
      <c r="N979" s="776"/>
      <c r="O979" s="387"/>
      <c r="P979" s="387"/>
      <c r="Q979" s="587"/>
    </row>
    <row r="980" spans="1:17" ht="15" customHeight="1" thickBot="1">
      <c r="A980" s="1474" t="s">
        <v>360</v>
      </c>
      <c r="B980" s="1475"/>
      <c r="C980" s="1475"/>
      <c r="D980" s="1475"/>
      <c r="E980" s="1475"/>
      <c r="F980" s="1475"/>
      <c r="G980" s="1476"/>
      <c r="H980" s="581"/>
      <c r="I980" s="581"/>
      <c r="J980" s="581"/>
      <c r="K980" s="582">
        <f>K972+K978</f>
        <v>351300</v>
      </c>
      <c r="L980" s="583">
        <f>L972+L978</f>
        <v>281300</v>
      </c>
      <c r="M980" s="583">
        <f>M972+M978</f>
        <v>0</v>
      </c>
      <c r="N980" s="582">
        <f>N972+N978</f>
        <v>70000</v>
      </c>
      <c r="O980" s="580"/>
      <c r="P980" s="580"/>
      <c r="Q980" s="816"/>
    </row>
    <row r="981" spans="1:17" ht="15.75" thickBot="1">
      <c r="A981" s="586"/>
      <c r="B981" s="871"/>
      <c r="C981" s="871"/>
      <c r="D981" s="871"/>
      <c r="E981" s="871"/>
      <c r="F981" s="595"/>
      <c r="G981" s="595"/>
      <c r="H981" s="716"/>
      <c r="I981" s="716"/>
      <c r="J981" s="716"/>
      <c r="K981" s="626"/>
      <c r="L981" s="592"/>
      <c r="M981" s="592"/>
      <c r="N981" s="626"/>
      <c r="O981" s="586"/>
      <c r="P981" s="586"/>
      <c r="Q981" s="586"/>
    </row>
    <row r="982" spans="1:17" ht="15.75" thickBot="1">
      <c r="A982" s="859"/>
      <c r="B982" s="639"/>
      <c r="C982" s="639"/>
      <c r="D982" s="639"/>
      <c r="E982" s="639"/>
      <c r="F982" s="846"/>
      <c r="G982" s="577" t="s">
        <v>1912</v>
      </c>
      <c r="H982" s="872"/>
      <c r="I982" s="873"/>
      <c r="J982" s="641"/>
      <c r="K982" s="639"/>
      <c r="L982" s="640"/>
      <c r="M982" s="640"/>
      <c r="N982" s="639"/>
      <c r="O982" s="841"/>
      <c r="P982" s="841"/>
      <c r="Q982" s="642"/>
    </row>
    <row r="983" spans="1:17" s="382" customFormat="1" ht="15.75" thickBot="1">
      <c r="A983" s="833"/>
      <c r="B983" s="358"/>
      <c r="C983" s="358"/>
      <c r="D983" s="358"/>
      <c r="E983" s="358"/>
      <c r="F983" s="356"/>
      <c r="G983" s="944"/>
      <c r="H983" s="428"/>
      <c r="I983" s="428"/>
      <c r="J983" s="406"/>
      <c r="K983" s="358"/>
      <c r="L983" s="359"/>
      <c r="M983" s="359"/>
      <c r="N983" s="358"/>
      <c r="O983" s="770"/>
      <c r="P983" s="770"/>
      <c r="Q983" s="857"/>
    </row>
    <row r="984" spans="1:17" s="382" customFormat="1" ht="60">
      <c r="A984" s="1562" t="s">
        <v>1452</v>
      </c>
      <c r="B984" s="1538" t="s">
        <v>676</v>
      </c>
      <c r="C984" s="1564" t="s">
        <v>610</v>
      </c>
      <c r="D984" s="1538" t="s">
        <v>611</v>
      </c>
      <c r="E984" s="1538" t="s">
        <v>1453</v>
      </c>
      <c r="F984" s="1472" t="s">
        <v>159</v>
      </c>
      <c r="G984" s="1509" t="s">
        <v>110</v>
      </c>
      <c r="H984" s="1477" t="s">
        <v>316</v>
      </c>
      <c r="I984" s="1472" t="s">
        <v>315</v>
      </c>
      <c r="J984" s="1472" t="s">
        <v>317</v>
      </c>
      <c r="K984" s="1472" t="s">
        <v>318</v>
      </c>
      <c r="L984" s="569" t="s">
        <v>1443</v>
      </c>
      <c r="M984" s="569" t="s">
        <v>1444</v>
      </c>
      <c r="N984" s="752" t="s">
        <v>1445</v>
      </c>
      <c r="O984" s="1477" t="s">
        <v>1673</v>
      </c>
      <c r="P984" s="1477" t="s">
        <v>1307</v>
      </c>
      <c r="Q984" s="1495" t="s">
        <v>1454</v>
      </c>
    </row>
    <row r="985" spans="1:17" s="382" customFormat="1" ht="15.75" thickBot="1">
      <c r="A985" s="1563"/>
      <c r="B985" s="1539"/>
      <c r="C985" s="1565"/>
      <c r="D985" s="1539"/>
      <c r="E985" s="1539"/>
      <c r="F985" s="1473"/>
      <c r="G985" s="1510"/>
      <c r="H985" s="1478"/>
      <c r="I985" s="1473"/>
      <c r="J985" s="1473"/>
      <c r="K985" s="1473"/>
      <c r="L985" s="570" t="s">
        <v>805</v>
      </c>
      <c r="M985" s="570" t="s">
        <v>805</v>
      </c>
      <c r="N985" s="753" t="s">
        <v>1149</v>
      </c>
      <c r="O985" s="1478"/>
      <c r="P985" s="1478"/>
      <c r="Q985" s="1496"/>
    </row>
    <row r="986" spans="1:17" s="382" customFormat="1" ht="45">
      <c r="A986" s="1703" t="s">
        <v>670</v>
      </c>
      <c r="B986" s="1773" t="s">
        <v>612</v>
      </c>
      <c r="C986" s="1768" t="s">
        <v>1439</v>
      </c>
      <c r="D986" s="1484">
        <v>1900</v>
      </c>
      <c r="E986" s="1761" t="s">
        <v>1451</v>
      </c>
      <c r="F986" s="945" t="s">
        <v>320</v>
      </c>
      <c r="G986" s="946" t="s">
        <v>1440</v>
      </c>
      <c r="H986" s="928" t="s">
        <v>160</v>
      </c>
      <c r="I986" s="928">
        <v>5500</v>
      </c>
      <c r="J986" s="778">
        <f>'preturi unitare'!H25</f>
        <v>94</v>
      </c>
      <c r="K986" s="778">
        <f>I986*J986</f>
        <v>517000</v>
      </c>
      <c r="L986" s="1205">
        <f>K986</f>
        <v>517000</v>
      </c>
      <c r="M986" s="778">
        <v>0</v>
      </c>
      <c r="N986" s="778">
        <v>0</v>
      </c>
      <c r="O986" s="1656">
        <f>L986+L987</f>
        <v>707208</v>
      </c>
      <c r="P986" s="1656">
        <f>O986/D986</f>
        <v>372.21473684210525</v>
      </c>
      <c r="Q986" s="1572" t="s">
        <v>1643</v>
      </c>
    </row>
    <row r="987" spans="1:17" s="382" customFormat="1" ht="30">
      <c r="A987" s="1760"/>
      <c r="B987" s="1774"/>
      <c r="C987" s="1769"/>
      <c r="D987" s="1483"/>
      <c r="E987" s="1484"/>
      <c r="F987" s="813" t="s">
        <v>322</v>
      </c>
      <c r="G987" s="814" t="s">
        <v>1441</v>
      </c>
      <c r="H987" s="389" t="s">
        <v>160</v>
      </c>
      <c r="I987" s="389">
        <v>2972</v>
      </c>
      <c r="J987" s="795">
        <f>'preturi unitare'!H22</f>
        <v>64</v>
      </c>
      <c r="K987" s="795">
        <f>I987*J987</f>
        <v>190208</v>
      </c>
      <c r="L987" s="333">
        <f>K987</f>
        <v>190208</v>
      </c>
      <c r="M987" s="795">
        <v>0</v>
      </c>
      <c r="N987" s="795">
        <v>0</v>
      </c>
      <c r="O987" s="1619"/>
      <c r="P987" s="1619"/>
      <c r="Q987" s="1637"/>
    </row>
    <row r="988" spans="1:17" s="382" customFormat="1">
      <c r="A988" s="820"/>
      <c r="B988" s="336"/>
      <c r="C988" s="336"/>
      <c r="D988" s="777"/>
      <c r="E988" s="777"/>
      <c r="F988" s="815"/>
      <c r="G988" s="408"/>
      <c r="H988" s="389"/>
      <c r="I988" s="389"/>
      <c r="J988" s="795"/>
      <c r="K988" s="795"/>
      <c r="L988" s="795"/>
      <c r="M988" s="795"/>
      <c r="N988" s="795"/>
      <c r="O988" s="795"/>
      <c r="P988" s="795"/>
      <c r="Q988" s="587"/>
    </row>
    <row r="989" spans="1:17" s="382" customFormat="1">
      <c r="A989" s="1469" t="s">
        <v>1442</v>
      </c>
      <c r="B989" s="1470"/>
      <c r="C989" s="1470"/>
      <c r="D989" s="1470"/>
      <c r="E989" s="1470"/>
      <c r="F989" s="1470"/>
      <c r="G989" s="1471"/>
      <c r="H989" s="793"/>
      <c r="I989" s="776"/>
      <c r="J989" s="776"/>
      <c r="K989" s="364">
        <f>SUM(K986:K987)</f>
        <v>707208</v>
      </c>
      <c r="L989" s="365">
        <f>SUM(L985:L987)</f>
        <v>707208</v>
      </c>
      <c r="M989" s="365">
        <f>SUM(M985:M987)</f>
        <v>0</v>
      </c>
      <c r="N989" s="364">
        <f>SUM(N985:N987)</f>
        <v>0</v>
      </c>
      <c r="O989" s="776"/>
      <c r="P989" s="776"/>
      <c r="Q989" s="587"/>
    </row>
    <row r="990" spans="1:17" s="382" customFormat="1" ht="15.75" thickBot="1">
      <c r="A990" s="833"/>
      <c r="B990" s="358"/>
      <c r="C990" s="358"/>
      <c r="D990" s="770"/>
      <c r="E990" s="770"/>
      <c r="F990" s="947"/>
      <c r="G990" s="855"/>
      <c r="H990" s="948"/>
      <c r="I990" s="948"/>
      <c r="J990" s="949"/>
      <c r="K990" s="949"/>
      <c r="L990" s="949"/>
      <c r="M990" s="949"/>
      <c r="N990" s="949"/>
      <c r="O990" s="949"/>
      <c r="P990" s="949"/>
      <c r="Q990" s="857"/>
    </row>
    <row r="991" spans="1:17" ht="60" customHeight="1">
      <c r="A991" s="1562" t="s">
        <v>632</v>
      </c>
      <c r="B991" s="1771" t="s">
        <v>617</v>
      </c>
      <c r="C991" s="1538" t="s">
        <v>610</v>
      </c>
      <c r="D991" s="1538" t="s">
        <v>611</v>
      </c>
      <c r="E991" s="1538" t="s">
        <v>1453</v>
      </c>
      <c r="F991" s="1472" t="s">
        <v>159</v>
      </c>
      <c r="G991" s="1509" t="s">
        <v>110</v>
      </c>
      <c r="H991" s="1477" t="s">
        <v>316</v>
      </c>
      <c r="I991" s="1472" t="s">
        <v>315</v>
      </c>
      <c r="J991" s="1472" t="s">
        <v>317</v>
      </c>
      <c r="K991" s="1472" t="s">
        <v>318</v>
      </c>
      <c r="L991" s="569" t="s">
        <v>1443</v>
      </c>
      <c r="M991" s="569" t="s">
        <v>1444</v>
      </c>
      <c r="N991" s="1038" t="s">
        <v>1445</v>
      </c>
      <c r="O991" s="1477" t="s">
        <v>1673</v>
      </c>
      <c r="P991" s="1477" t="s">
        <v>1307</v>
      </c>
      <c r="Q991" s="1495" t="s">
        <v>1454</v>
      </c>
    </row>
    <row r="992" spans="1:17" ht="15.75" thickBot="1">
      <c r="A992" s="1563"/>
      <c r="B992" s="1772"/>
      <c r="C992" s="1539"/>
      <c r="D992" s="1539"/>
      <c r="E992" s="1539"/>
      <c r="F992" s="1473"/>
      <c r="G992" s="1510"/>
      <c r="H992" s="1478"/>
      <c r="I992" s="1473"/>
      <c r="J992" s="1473"/>
      <c r="K992" s="1473"/>
      <c r="L992" s="570" t="s">
        <v>805</v>
      </c>
      <c r="M992" s="570" t="s">
        <v>805</v>
      </c>
      <c r="N992" s="1039" t="s">
        <v>1149</v>
      </c>
      <c r="O992" s="1478"/>
      <c r="P992" s="1478"/>
      <c r="Q992" s="1496"/>
    </row>
    <row r="993" spans="1:17" ht="30" customHeight="1">
      <c r="A993" s="1678" t="s">
        <v>670</v>
      </c>
      <c r="B993" s="1487" t="s">
        <v>1439</v>
      </c>
      <c r="C993" s="1599" t="s">
        <v>1439</v>
      </c>
      <c r="D993" s="1598">
        <v>1900</v>
      </c>
      <c r="E993" s="1598">
        <f>1.1*D993</f>
        <v>2090</v>
      </c>
      <c r="F993" s="1129" t="s">
        <v>323</v>
      </c>
      <c r="G993" s="950" t="s">
        <v>1715</v>
      </c>
      <c r="H993" s="1122" t="s">
        <v>280</v>
      </c>
      <c r="I993" s="1123">
        <v>1</v>
      </c>
      <c r="J993" s="1123">
        <f>'preturi unitare'!O33</f>
        <v>246000</v>
      </c>
      <c r="K993" s="1123">
        <f t="shared" ref="K993" si="84">I993*J993</f>
        <v>246000</v>
      </c>
      <c r="L993" s="411">
        <f t="shared" ref="L993" si="85">K993</f>
        <v>246000</v>
      </c>
      <c r="M993" s="411">
        <v>0</v>
      </c>
      <c r="N993" s="1042">
        <v>0</v>
      </c>
      <c r="O993" s="1465">
        <f>SUM(L993:L995)</f>
        <v>1304000</v>
      </c>
      <c r="P993" s="1465">
        <f>O993/E993</f>
        <v>623.92344497607655</v>
      </c>
      <c r="Q993" s="1574" t="s">
        <v>1718</v>
      </c>
    </row>
    <row r="994" spans="1:17" s="382" customFormat="1" ht="30" customHeight="1">
      <c r="A994" s="1679"/>
      <c r="B994" s="1488"/>
      <c r="C994" s="1567"/>
      <c r="D994" s="1577"/>
      <c r="E994" s="1577"/>
      <c r="F994" s="1128" t="s">
        <v>324</v>
      </c>
      <c r="G994" s="398" t="s">
        <v>901</v>
      </c>
      <c r="H994" s="807" t="s">
        <v>280</v>
      </c>
      <c r="I994" s="1119">
        <v>2</v>
      </c>
      <c r="J994" s="1119">
        <f>'preturi unitare'!B32</f>
        <v>67000</v>
      </c>
      <c r="K994" s="1119">
        <f t="shared" ref="K994:K999" si="86">I994*J994</f>
        <v>134000</v>
      </c>
      <c r="L994" s="334">
        <f>K994</f>
        <v>134000</v>
      </c>
      <c r="M994" s="334">
        <v>0</v>
      </c>
      <c r="N994" s="1043">
        <v>0</v>
      </c>
      <c r="O994" s="1482"/>
      <c r="P994" s="1482"/>
      <c r="Q994" s="1641"/>
    </row>
    <row r="995" spans="1:17" s="382" customFormat="1" ht="30" customHeight="1">
      <c r="A995" s="1679"/>
      <c r="B995" s="1488"/>
      <c r="C995" s="1567"/>
      <c r="D995" s="1577"/>
      <c r="E995" s="1577"/>
      <c r="F995" s="1128" t="s">
        <v>325</v>
      </c>
      <c r="G995" s="362" t="s">
        <v>372</v>
      </c>
      <c r="H995" s="807" t="s">
        <v>160</v>
      </c>
      <c r="I995" s="1119">
        <v>6000</v>
      </c>
      <c r="J995" s="1119">
        <f>'preturi unitare'!H40</f>
        <v>154</v>
      </c>
      <c r="K995" s="1119">
        <f t="shared" si="86"/>
        <v>924000</v>
      </c>
      <c r="L995" s="334">
        <f>K995</f>
        <v>924000</v>
      </c>
      <c r="M995" s="334">
        <v>0</v>
      </c>
      <c r="N995" s="1043">
        <v>0</v>
      </c>
      <c r="O995" s="1482"/>
      <c r="P995" s="1482"/>
      <c r="Q995" s="1641"/>
    </row>
    <row r="996" spans="1:17" s="382" customFormat="1" ht="30" customHeight="1">
      <c r="A996" s="1679"/>
      <c r="B996" s="1488" t="s">
        <v>1451</v>
      </c>
      <c r="C996" s="1567" t="s">
        <v>1716</v>
      </c>
      <c r="D996" s="1577">
        <v>371</v>
      </c>
      <c r="E996" s="1577">
        <v>371</v>
      </c>
      <c r="F996" s="1128" t="s">
        <v>323</v>
      </c>
      <c r="G996" s="398" t="s">
        <v>1719</v>
      </c>
      <c r="H996" s="807" t="s">
        <v>280</v>
      </c>
      <c r="I996" s="1119">
        <v>1</v>
      </c>
      <c r="J996" s="1119">
        <f>'preturi unitare'!O25</f>
        <v>92000</v>
      </c>
      <c r="K996" s="1119">
        <f t="shared" si="86"/>
        <v>92000</v>
      </c>
      <c r="L996" s="334">
        <v>0</v>
      </c>
      <c r="M996" s="334">
        <f>K996</f>
        <v>92000</v>
      </c>
      <c r="N996" s="1043">
        <v>0</v>
      </c>
      <c r="O996" s="1482">
        <f>SUM(M996:M997)</f>
        <v>400000</v>
      </c>
      <c r="P996" s="1482">
        <f>O996/E996</f>
        <v>1078.167115902965</v>
      </c>
      <c r="Q996" s="1641" t="s">
        <v>1720</v>
      </c>
    </row>
    <row r="997" spans="1:17" s="382" customFormat="1" ht="30" customHeight="1">
      <c r="A997" s="1679"/>
      <c r="B997" s="1488"/>
      <c r="C997" s="1567"/>
      <c r="D997" s="1577"/>
      <c r="E997" s="1577"/>
      <c r="F997" s="1128" t="s">
        <v>325</v>
      </c>
      <c r="G997" s="362" t="s">
        <v>371</v>
      </c>
      <c r="H997" s="807" t="s">
        <v>160</v>
      </c>
      <c r="I997" s="1119">
        <v>2000</v>
      </c>
      <c r="J997" s="1119">
        <f>'preturi unitare'!H40</f>
        <v>154</v>
      </c>
      <c r="K997" s="1119">
        <f t="shared" si="86"/>
        <v>308000</v>
      </c>
      <c r="L997" s="334">
        <v>0</v>
      </c>
      <c r="M997" s="334">
        <f t="shared" ref="M997:M999" si="87">K997</f>
        <v>308000</v>
      </c>
      <c r="N997" s="1283">
        <v>0</v>
      </c>
      <c r="O997" s="1482"/>
      <c r="P997" s="1482"/>
      <c r="Q997" s="1641"/>
    </row>
    <row r="998" spans="1:17" s="382" customFormat="1" ht="30" customHeight="1">
      <c r="A998" s="1679"/>
      <c r="B998" s="1488" t="s">
        <v>1451</v>
      </c>
      <c r="C998" s="1567" t="s">
        <v>670</v>
      </c>
      <c r="D998" s="1577">
        <v>833</v>
      </c>
      <c r="E998" s="1577">
        <f>D998</f>
        <v>833</v>
      </c>
      <c r="F998" s="1128" t="s">
        <v>323</v>
      </c>
      <c r="G998" s="398" t="s">
        <v>1717</v>
      </c>
      <c r="H998" s="807" t="s">
        <v>280</v>
      </c>
      <c r="I998" s="1119">
        <v>1</v>
      </c>
      <c r="J998" s="1119">
        <f>'preturi unitare'!O28</f>
        <v>120000</v>
      </c>
      <c r="K998" s="1119">
        <f t="shared" si="86"/>
        <v>120000</v>
      </c>
      <c r="L998" s="334">
        <v>0</v>
      </c>
      <c r="M998" s="334">
        <f t="shared" si="87"/>
        <v>120000</v>
      </c>
      <c r="N998" s="1283">
        <v>0</v>
      </c>
      <c r="O998" s="1482">
        <f>SUM(M998:M999)</f>
        <v>535800</v>
      </c>
      <c r="P998" s="1482">
        <f>O998/E998</f>
        <v>643.21728691476585</v>
      </c>
      <c r="Q998" s="1641" t="s">
        <v>1721</v>
      </c>
    </row>
    <row r="999" spans="1:17" s="382" customFormat="1" ht="30" customHeight="1">
      <c r="A999" s="1679"/>
      <c r="B999" s="1488"/>
      <c r="C999" s="1567"/>
      <c r="D999" s="1577"/>
      <c r="E999" s="1577"/>
      <c r="F999" s="1128" t="s">
        <v>325</v>
      </c>
      <c r="G999" s="362" t="s">
        <v>370</v>
      </c>
      <c r="H999" s="807" t="s">
        <v>160</v>
      </c>
      <c r="I999" s="1119">
        <v>2700</v>
      </c>
      <c r="J999" s="1119">
        <f>'preturi unitare'!H40</f>
        <v>154</v>
      </c>
      <c r="K999" s="1119">
        <f t="shared" si="86"/>
        <v>415800</v>
      </c>
      <c r="L999" s="334">
        <v>0</v>
      </c>
      <c r="M999" s="334">
        <f t="shared" si="87"/>
        <v>415800</v>
      </c>
      <c r="N999" s="1283">
        <v>0</v>
      </c>
      <c r="O999" s="1482"/>
      <c r="P999" s="1482"/>
      <c r="Q999" s="1641"/>
    </row>
    <row r="1000" spans="1:17" s="378" customFormat="1">
      <c r="A1000" s="820"/>
      <c r="B1000" s="1041"/>
      <c r="C1000" s="1041"/>
      <c r="D1000" s="1041"/>
      <c r="E1000" s="1041"/>
      <c r="F1000" s="1035"/>
      <c r="G1000" s="384"/>
      <c r="H1000" s="1043"/>
      <c r="I1000" s="1043"/>
      <c r="J1000" s="1043"/>
      <c r="K1000" s="1043"/>
      <c r="L1000" s="334"/>
      <c r="M1000" s="334"/>
      <c r="N1000" s="326"/>
      <c r="O1000" s="1044"/>
      <c r="P1000" s="1044"/>
      <c r="Q1000" s="587"/>
    </row>
    <row r="1001" spans="1:17">
      <c r="A1001" s="1532" t="s">
        <v>373</v>
      </c>
      <c r="B1001" s="1533"/>
      <c r="C1001" s="1533"/>
      <c r="D1001" s="1533"/>
      <c r="E1001" s="1533"/>
      <c r="F1001" s="1533"/>
      <c r="G1001" s="1534"/>
      <c r="H1001" s="364"/>
      <c r="I1001" s="364"/>
      <c r="J1001" s="364"/>
      <c r="K1001" s="364">
        <f>SUM(K993:K999)</f>
        <v>2239800</v>
      </c>
      <c r="L1001" s="365">
        <f>SUM(L993:L999)</f>
        <v>1304000</v>
      </c>
      <c r="M1001" s="365">
        <f>SUM(M993:M999)</f>
        <v>935800</v>
      </c>
      <c r="N1001" s="364">
        <f>SUM(N993:N999)</f>
        <v>0</v>
      </c>
      <c r="O1001" s="1043"/>
      <c r="P1001" s="1043"/>
      <c r="Q1001" s="587"/>
    </row>
    <row r="1002" spans="1:17">
      <c r="A1002" s="820"/>
      <c r="B1002" s="1040"/>
      <c r="C1002" s="1040"/>
      <c r="D1002" s="1040"/>
      <c r="E1002" s="1040"/>
      <c r="F1002" s="1035"/>
      <c r="G1002" s="328"/>
      <c r="H1002" s="1043"/>
      <c r="I1002" s="1043"/>
      <c r="J1002" s="1043"/>
      <c r="K1002" s="1043"/>
      <c r="L1002" s="334"/>
      <c r="M1002" s="334"/>
      <c r="N1002" s="1043"/>
      <c r="O1002" s="1043"/>
      <c r="P1002" s="1043"/>
      <c r="Q1002" s="587"/>
    </row>
    <row r="1003" spans="1:17" ht="15" customHeight="1" thickBot="1">
      <c r="A1003" s="1474" t="s">
        <v>374</v>
      </c>
      <c r="B1003" s="1475"/>
      <c r="C1003" s="1475"/>
      <c r="D1003" s="1475"/>
      <c r="E1003" s="1475"/>
      <c r="F1003" s="1475"/>
      <c r="G1003" s="1476"/>
      <c r="H1003" s="581"/>
      <c r="I1003" s="581"/>
      <c r="J1003" s="581"/>
      <c r="K1003" s="582">
        <f>K1001+K989</f>
        <v>2947008</v>
      </c>
      <c r="L1003" s="583">
        <f>L1001+L989</f>
        <v>2011208</v>
      </c>
      <c r="M1003" s="583">
        <f>M1001+M989</f>
        <v>935800</v>
      </c>
      <c r="N1003" s="582">
        <f>N1001+N989</f>
        <v>0</v>
      </c>
      <c r="O1003" s="581"/>
      <c r="P1003" s="581"/>
      <c r="Q1003" s="816"/>
    </row>
    <row r="1004" spans="1:17" s="373" customFormat="1" ht="15.75" thickBot="1">
      <c r="A1004" s="876"/>
      <c r="B1004" s="876"/>
      <c r="C1004" s="876"/>
      <c r="D1004" s="876"/>
      <c r="E1004" s="876"/>
      <c r="F1004" s="876"/>
      <c r="G1004" s="876"/>
      <c r="H1004" s="876"/>
      <c r="I1004" s="876"/>
      <c r="J1004" s="876"/>
      <c r="K1004" s="876"/>
      <c r="L1004" s="876"/>
      <c r="M1004" s="876"/>
      <c r="N1004" s="876"/>
      <c r="O1004" s="876"/>
      <c r="P1004" s="876"/>
      <c r="Q1004" s="876"/>
    </row>
    <row r="1005" spans="1:17" s="373" customFormat="1" ht="15.75" thickBot="1">
      <c r="A1005" s="882"/>
      <c r="B1005" s="639"/>
      <c r="C1005" s="639"/>
      <c r="D1005" s="639"/>
      <c r="E1005" s="639"/>
      <c r="F1005" s="846"/>
      <c r="G1005" s="577" t="s">
        <v>1913</v>
      </c>
      <c r="H1005" s="872"/>
      <c r="I1005" s="873"/>
      <c r="J1005" s="853"/>
      <c r="K1005" s="639"/>
      <c r="L1005" s="640"/>
      <c r="M1005" s="640"/>
      <c r="N1005" s="639"/>
      <c r="O1005" s="712"/>
      <c r="P1005" s="712"/>
      <c r="Q1005" s="883"/>
    </row>
    <row r="1006" spans="1:17" s="373" customFormat="1" ht="15.75" thickBot="1">
      <c r="A1006" s="884"/>
      <c r="B1006" s="355"/>
      <c r="C1006" s="355"/>
      <c r="D1006" s="355"/>
      <c r="E1006" s="355"/>
      <c r="F1006" s="356"/>
      <c r="G1006" s="576"/>
      <c r="H1006" s="358"/>
      <c r="I1006" s="358"/>
      <c r="J1006" s="358"/>
      <c r="K1006" s="358"/>
      <c r="L1006" s="359"/>
      <c r="M1006" s="359"/>
      <c r="N1006" s="358"/>
      <c r="O1006" s="732"/>
      <c r="P1006" s="732"/>
      <c r="Q1006" s="862"/>
    </row>
    <row r="1007" spans="1:17" s="373" customFormat="1" ht="60" customHeight="1">
      <c r="A1007" s="1542" t="s">
        <v>632</v>
      </c>
      <c r="B1007" s="1544" t="s">
        <v>617</v>
      </c>
      <c r="C1007" s="1538" t="s">
        <v>610</v>
      </c>
      <c r="D1007" s="1538" t="s">
        <v>611</v>
      </c>
      <c r="E1007" s="1538" t="s">
        <v>1453</v>
      </c>
      <c r="F1007" s="1472" t="s">
        <v>159</v>
      </c>
      <c r="G1007" s="1509" t="s">
        <v>110</v>
      </c>
      <c r="H1007" s="1477" t="s">
        <v>316</v>
      </c>
      <c r="I1007" s="1472" t="s">
        <v>315</v>
      </c>
      <c r="J1007" s="1472" t="s">
        <v>317</v>
      </c>
      <c r="K1007" s="1472" t="s">
        <v>318</v>
      </c>
      <c r="L1007" s="569" t="s">
        <v>1443</v>
      </c>
      <c r="M1007" s="569" t="s">
        <v>1444</v>
      </c>
      <c r="N1007" s="752" t="s">
        <v>1445</v>
      </c>
      <c r="O1007" s="1477" t="s">
        <v>1673</v>
      </c>
      <c r="P1007" s="1477" t="s">
        <v>1307</v>
      </c>
      <c r="Q1007" s="1495" t="s">
        <v>1454</v>
      </c>
    </row>
    <row r="1008" spans="1:17" s="373" customFormat="1" ht="15.75" thickBot="1">
      <c r="A1008" s="1543"/>
      <c r="B1008" s="1545"/>
      <c r="C1008" s="1539"/>
      <c r="D1008" s="1539"/>
      <c r="E1008" s="1539"/>
      <c r="F1008" s="1473"/>
      <c r="G1008" s="1510"/>
      <c r="H1008" s="1478"/>
      <c r="I1008" s="1473"/>
      <c r="J1008" s="1473"/>
      <c r="K1008" s="1473"/>
      <c r="L1008" s="570" t="s">
        <v>805</v>
      </c>
      <c r="M1008" s="570" t="s">
        <v>805</v>
      </c>
      <c r="N1008" s="753" t="s">
        <v>1149</v>
      </c>
      <c r="O1008" s="1478"/>
      <c r="P1008" s="1478"/>
      <c r="Q1008" s="1496"/>
    </row>
    <row r="1009" spans="1:19" s="373" customFormat="1" ht="30">
      <c r="A1009" s="1736" t="s">
        <v>1492</v>
      </c>
      <c r="B1009" s="1612" t="s">
        <v>612</v>
      </c>
      <c r="C1009" s="1001" t="s">
        <v>681</v>
      </c>
      <c r="D1009" s="769">
        <v>5088</v>
      </c>
      <c r="E1009" s="769">
        <f>1.15*D1009</f>
        <v>5851.2</v>
      </c>
      <c r="F1009" s="757" t="s">
        <v>325</v>
      </c>
      <c r="G1009" s="423" t="s">
        <v>500</v>
      </c>
      <c r="H1009" s="414" t="s">
        <v>160</v>
      </c>
      <c r="I1009" s="756">
        <v>1500</v>
      </c>
      <c r="J1009" s="756">
        <f>'preturi unitare'!H40</f>
        <v>154</v>
      </c>
      <c r="K1009" s="756">
        <f>I1009*J1009</f>
        <v>231000</v>
      </c>
      <c r="L1009" s="411">
        <f>K1009</f>
        <v>231000</v>
      </c>
      <c r="M1009" s="411">
        <v>0</v>
      </c>
      <c r="N1009" s="925">
        <v>0</v>
      </c>
      <c r="O1009" s="756">
        <f>L1009</f>
        <v>231000</v>
      </c>
      <c r="P1009" s="756">
        <f>O1009/D1009</f>
        <v>45.400943396226417</v>
      </c>
      <c r="Q1009" s="1497" t="s">
        <v>1644</v>
      </c>
    </row>
    <row r="1010" spans="1:19" s="373" customFormat="1" ht="54.75" customHeight="1">
      <c r="A1010" s="1770"/>
      <c r="B1010" s="1701"/>
      <c r="C1010" s="998" t="s">
        <v>682</v>
      </c>
      <c r="D1010" s="763">
        <v>1417</v>
      </c>
      <c r="E1010" s="763">
        <f>D1010</f>
        <v>1417</v>
      </c>
      <c r="F1010" s="762" t="s">
        <v>325</v>
      </c>
      <c r="G1010" s="329" t="s">
        <v>501</v>
      </c>
      <c r="H1010" s="807" t="s">
        <v>160</v>
      </c>
      <c r="I1010" s="776">
        <v>1000</v>
      </c>
      <c r="J1010" s="776">
        <f>J1009</f>
        <v>154</v>
      </c>
      <c r="K1010" s="776">
        <f>I1010*J1010</f>
        <v>154000</v>
      </c>
      <c r="L1010" s="334">
        <f>K1010</f>
        <v>154000</v>
      </c>
      <c r="M1010" s="334">
        <v>0</v>
      </c>
      <c r="N1010" s="383">
        <v>0</v>
      </c>
      <c r="O1010" s="776">
        <f>L1010</f>
        <v>154000</v>
      </c>
      <c r="P1010" s="776">
        <f>O1010/D1010</f>
        <v>108.68031051517291</v>
      </c>
      <c r="Q1010" s="1499"/>
    </row>
    <row r="1011" spans="1:19" s="373" customFormat="1">
      <c r="A1011" s="885"/>
      <c r="B1011" s="761"/>
      <c r="C1011" s="761"/>
      <c r="D1011" s="761"/>
      <c r="E1011" s="761"/>
      <c r="F1011" s="762"/>
      <c r="G1011" s="384"/>
      <c r="H1011" s="776"/>
      <c r="I1011" s="776"/>
      <c r="J1011" s="776"/>
      <c r="K1011" s="776"/>
      <c r="L1011" s="334"/>
      <c r="M1011" s="334"/>
      <c r="N1011" s="326"/>
      <c r="O1011" s="776"/>
      <c r="P1011" s="776"/>
      <c r="Q1011" s="584"/>
    </row>
    <row r="1012" spans="1:19" s="373" customFormat="1">
      <c r="A1012" s="1532" t="s">
        <v>469</v>
      </c>
      <c r="B1012" s="1533"/>
      <c r="C1012" s="1533"/>
      <c r="D1012" s="1533"/>
      <c r="E1012" s="1533"/>
      <c r="F1012" s="1533"/>
      <c r="G1012" s="1534"/>
      <c r="H1012" s="364"/>
      <c r="I1012" s="364"/>
      <c r="J1012" s="364"/>
      <c r="K1012" s="364">
        <f>SUM(K1009:K1010)</f>
        <v>385000</v>
      </c>
      <c r="L1012" s="365">
        <f>SUM(L1009:L1010)</f>
        <v>385000</v>
      </c>
      <c r="M1012" s="365">
        <f>SUM(M1009:M1010)</f>
        <v>0</v>
      </c>
      <c r="N1012" s="364">
        <f>SUM(N1009:N1010)</f>
        <v>0</v>
      </c>
      <c r="O1012" s="776"/>
      <c r="P1012" s="776"/>
      <c r="Q1012" s="584"/>
    </row>
    <row r="1013" spans="1:19" s="373" customFormat="1">
      <c r="A1013" s="885"/>
      <c r="B1013" s="782"/>
      <c r="C1013" s="782"/>
      <c r="D1013" s="782"/>
      <c r="E1013" s="782"/>
      <c r="F1013" s="762"/>
      <c r="G1013" s="328"/>
      <c r="H1013" s="776"/>
      <c r="I1013" s="776"/>
      <c r="J1013" s="776"/>
      <c r="K1013" s="776"/>
      <c r="L1013" s="334"/>
      <c r="M1013" s="334"/>
      <c r="N1013" s="776"/>
      <c r="O1013" s="776"/>
      <c r="P1013" s="776"/>
      <c r="Q1013" s="584"/>
    </row>
    <row r="1014" spans="1:19" s="373" customFormat="1" ht="15" customHeight="1" thickBot="1">
      <c r="A1014" s="1474" t="s">
        <v>470</v>
      </c>
      <c r="B1014" s="1475"/>
      <c r="C1014" s="1475"/>
      <c r="D1014" s="1475"/>
      <c r="E1014" s="1475"/>
      <c r="F1014" s="1475"/>
      <c r="G1014" s="1476"/>
      <c r="H1014" s="581"/>
      <c r="I1014" s="581"/>
      <c r="J1014" s="581"/>
      <c r="K1014" s="582">
        <f>K1012</f>
        <v>385000</v>
      </c>
      <c r="L1014" s="583">
        <f>L1012</f>
        <v>385000</v>
      </c>
      <c r="M1014" s="583">
        <f>M1012</f>
        <v>0</v>
      </c>
      <c r="N1014" s="582">
        <f>N1012</f>
        <v>0</v>
      </c>
      <c r="O1014" s="581"/>
      <c r="P1014" s="581"/>
      <c r="Q1014" s="886"/>
    </row>
    <row r="1015" spans="1:19" s="373" customFormat="1" ht="15.75" thickBot="1">
      <c r="A1015" s="876"/>
      <c r="B1015" s="871"/>
      <c r="C1015" s="871"/>
      <c r="D1015" s="871"/>
      <c r="E1015" s="871"/>
      <c r="F1015" s="595"/>
      <c r="G1015" s="595"/>
      <c r="H1015" s="716"/>
      <c r="I1015" s="716"/>
      <c r="J1015" s="716"/>
      <c r="K1015" s="626"/>
      <c r="L1015" s="592"/>
      <c r="M1015" s="592"/>
      <c r="N1015" s="626"/>
      <c r="O1015" s="716"/>
      <c r="P1015" s="716"/>
      <c r="Q1015" s="876"/>
    </row>
    <row r="1016" spans="1:19" s="373" customFormat="1" ht="15.75" thickBot="1">
      <c r="A1016" s="882"/>
      <c r="B1016" s="639"/>
      <c r="C1016" s="639"/>
      <c r="D1016" s="639"/>
      <c r="E1016" s="639"/>
      <c r="F1016" s="846"/>
      <c r="G1016" s="577" t="s">
        <v>1914</v>
      </c>
      <c r="H1016" s="872"/>
      <c r="I1016" s="873"/>
      <c r="J1016" s="853"/>
      <c r="K1016" s="639"/>
      <c r="L1016" s="640"/>
      <c r="M1016" s="640"/>
      <c r="N1016" s="639"/>
      <c r="O1016" s="712"/>
      <c r="P1016" s="712"/>
      <c r="Q1016" s="883"/>
    </row>
    <row r="1017" spans="1:19" s="373" customFormat="1" ht="15.75" thickBot="1">
      <c r="A1017" s="884"/>
      <c r="B1017" s="355"/>
      <c r="C1017" s="355"/>
      <c r="D1017" s="355"/>
      <c r="E1017" s="355"/>
      <c r="F1017" s="356"/>
      <c r="G1017" s="576"/>
      <c r="H1017" s="358"/>
      <c r="I1017" s="358"/>
      <c r="J1017" s="358"/>
      <c r="K1017" s="358"/>
      <c r="L1017" s="359"/>
      <c r="M1017" s="359"/>
      <c r="N1017" s="358"/>
      <c r="O1017" s="732"/>
      <c r="P1017" s="732"/>
      <c r="Q1017" s="862"/>
    </row>
    <row r="1018" spans="1:19" s="373" customFormat="1" ht="60" customHeight="1">
      <c r="A1018" s="1562" t="s">
        <v>1452</v>
      </c>
      <c r="B1018" s="1538" t="s">
        <v>676</v>
      </c>
      <c r="C1018" s="1564" t="s">
        <v>610</v>
      </c>
      <c r="D1018" s="1538" t="s">
        <v>611</v>
      </c>
      <c r="E1018" s="1538" t="s">
        <v>1453</v>
      </c>
      <c r="F1018" s="1472" t="s">
        <v>159</v>
      </c>
      <c r="G1018" s="1509" t="s">
        <v>110</v>
      </c>
      <c r="H1018" s="1477" t="s">
        <v>316</v>
      </c>
      <c r="I1018" s="1472" t="s">
        <v>315</v>
      </c>
      <c r="J1018" s="1472" t="s">
        <v>317</v>
      </c>
      <c r="K1018" s="1472" t="s">
        <v>318</v>
      </c>
      <c r="L1018" s="569" t="s">
        <v>1443</v>
      </c>
      <c r="M1018" s="569" t="s">
        <v>1444</v>
      </c>
      <c r="N1018" s="752" t="s">
        <v>1445</v>
      </c>
      <c r="O1018" s="1477" t="s">
        <v>1673</v>
      </c>
      <c r="P1018" s="1477" t="s">
        <v>1307</v>
      </c>
      <c r="Q1018" s="1495" t="s">
        <v>1454</v>
      </c>
    </row>
    <row r="1019" spans="1:19" s="373" customFormat="1" ht="15.75" thickBot="1">
      <c r="A1019" s="1563"/>
      <c r="B1019" s="1539"/>
      <c r="C1019" s="1565"/>
      <c r="D1019" s="1539"/>
      <c r="E1019" s="1539"/>
      <c r="F1019" s="1473"/>
      <c r="G1019" s="1510"/>
      <c r="H1019" s="1478"/>
      <c r="I1019" s="1473"/>
      <c r="J1019" s="1473"/>
      <c r="K1019" s="1473"/>
      <c r="L1019" s="570" t="s">
        <v>805</v>
      </c>
      <c r="M1019" s="570" t="s">
        <v>805</v>
      </c>
      <c r="N1019" s="753" t="s">
        <v>1149</v>
      </c>
      <c r="O1019" s="1478"/>
      <c r="P1019" s="1478"/>
      <c r="Q1019" s="1496"/>
    </row>
    <row r="1020" spans="1:19" s="373" customFormat="1" ht="30">
      <c r="A1020" s="1736" t="s">
        <v>687</v>
      </c>
      <c r="B1020" s="1587" t="s">
        <v>1476</v>
      </c>
      <c r="C1020" s="1611" t="s">
        <v>2052</v>
      </c>
      <c r="D1020" s="1681">
        <f>4885</f>
        <v>4885</v>
      </c>
      <c r="E1020" s="1610" t="s">
        <v>1451</v>
      </c>
      <c r="F1020" s="757" t="s">
        <v>320</v>
      </c>
      <c r="G1020" s="412" t="s">
        <v>1328</v>
      </c>
      <c r="H1020" s="414" t="s">
        <v>160</v>
      </c>
      <c r="I1020" s="756">
        <v>3000</v>
      </c>
      <c r="J1020" s="756">
        <f>'preturi unitare'!H23</f>
        <v>68</v>
      </c>
      <c r="K1020" s="756">
        <f>I1020*J1020</f>
        <v>204000</v>
      </c>
      <c r="L1020" s="411">
        <f>K1020</f>
        <v>204000</v>
      </c>
      <c r="M1020" s="411">
        <v>0</v>
      </c>
      <c r="N1020" s="430">
        <v>0</v>
      </c>
      <c r="O1020" s="1463">
        <f>L1024</f>
        <v>668000</v>
      </c>
      <c r="P1020" s="1463">
        <f>O1020/D1020</f>
        <v>136.74513817809623</v>
      </c>
      <c r="Q1020" s="1497" t="s">
        <v>1645</v>
      </c>
    </row>
    <row r="1021" spans="1:19" s="373" customFormat="1" ht="30">
      <c r="A1021" s="1568"/>
      <c r="B1021" s="1588"/>
      <c r="C1021" s="1626"/>
      <c r="D1021" s="1627"/>
      <c r="E1021" s="1628"/>
      <c r="F1021" s="762" t="s">
        <v>322</v>
      </c>
      <c r="G1021" s="362" t="s">
        <v>1344</v>
      </c>
      <c r="H1021" s="653" t="s">
        <v>160</v>
      </c>
      <c r="I1021" s="776">
        <v>3000</v>
      </c>
      <c r="J1021" s="776">
        <f>'preturi unitare'!H22</f>
        <v>64</v>
      </c>
      <c r="K1021" s="776">
        <f>I1021*J1021</f>
        <v>192000</v>
      </c>
      <c r="L1021" s="411">
        <f>K1021</f>
        <v>192000</v>
      </c>
      <c r="M1021" s="334">
        <v>0</v>
      </c>
      <c r="N1021" s="385">
        <v>0</v>
      </c>
      <c r="O1021" s="1464"/>
      <c r="P1021" s="1464"/>
      <c r="Q1021" s="1498"/>
    </row>
    <row r="1022" spans="1:19" s="373" customFormat="1" ht="30">
      <c r="A1022" s="1568"/>
      <c r="B1022" s="1589"/>
      <c r="C1022" s="1599"/>
      <c r="D1022" s="1598"/>
      <c r="E1022" s="1607"/>
      <c r="F1022" s="762" t="s">
        <v>322</v>
      </c>
      <c r="G1022" s="362" t="s">
        <v>926</v>
      </c>
      <c r="H1022" s="807" t="s">
        <v>160</v>
      </c>
      <c r="I1022" s="776">
        <v>4000</v>
      </c>
      <c r="J1022" s="776">
        <f>J1020</f>
        <v>68</v>
      </c>
      <c r="K1022" s="776">
        <f>I1022*J1022</f>
        <v>272000</v>
      </c>
      <c r="L1022" s="334">
        <f>K1022</f>
        <v>272000</v>
      </c>
      <c r="M1022" s="334">
        <v>0</v>
      </c>
      <c r="N1022" s="385">
        <v>0</v>
      </c>
      <c r="O1022" s="1465"/>
      <c r="P1022" s="1465"/>
      <c r="Q1022" s="1499"/>
    </row>
    <row r="1023" spans="1:19" s="373" customFormat="1">
      <c r="A1023" s="885"/>
      <c r="B1023" s="326"/>
      <c r="C1023" s="326"/>
      <c r="D1023" s="385"/>
      <c r="E1023" s="385"/>
      <c r="F1023" s="326"/>
      <c r="G1023" s="326"/>
      <c r="H1023" s="326"/>
      <c r="I1023" s="776"/>
      <c r="J1023" s="776"/>
      <c r="K1023" s="776"/>
      <c r="L1023" s="334"/>
      <c r="M1023" s="334"/>
      <c r="N1023" s="385"/>
      <c r="O1023" s="776"/>
      <c r="P1023" s="776"/>
      <c r="Q1023" s="584"/>
    </row>
    <row r="1024" spans="1:19" s="373" customFormat="1">
      <c r="A1024" s="1469" t="s">
        <v>477</v>
      </c>
      <c r="B1024" s="1470"/>
      <c r="C1024" s="1470"/>
      <c r="D1024" s="1470"/>
      <c r="E1024" s="1470"/>
      <c r="F1024" s="1470"/>
      <c r="G1024" s="1471"/>
      <c r="H1024" s="793"/>
      <c r="I1024" s="776"/>
      <c r="J1024" s="776"/>
      <c r="K1024" s="364">
        <f>SUM(K1020:K1022)</f>
        <v>668000</v>
      </c>
      <c r="L1024" s="365">
        <f>SUM(L1020:L1022)</f>
        <v>668000</v>
      </c>
      <c r="M1024" s="365">
        <f>SUM(M1020:M1022)</f>
        <v>0</v>
      </c>
      <c r="N1024" s="364">
        <f>SUM(N1020:N1022)</f>
        <v>0</v>
      </c>
      <c r="O1024" s="776"/>
      <c r="P1024" s="776"/>
      <c r="Q1024" s="584"/>
      <c r="S1024" s="374"/>
    </row>
    <row r="1025" spans="1:17" s="373" customFormat="1" ht="15.75" thickBot="1">
      <c r="A1025" s="884"/>
      <c r="B1025" s="397"/>
      <c r="C1025" s="397"/>
      <c r="D1025" s="768"/>
      <c r="E1025" s="768"/>
      <c r="F1025" s="766"/>
      <c r="G1025" s="417"/>
      <c r="H1025" s="732"/>
      <c r="I1025" s="732"/>
      <c r="J1025" s="732"/>
      <c r="K1025" s="732"/>
      <c r="L1025" s="426"/>
      <c r="M1025" s="426"/>
      <c r="N1025" s="418"/>
      <c r="O1025" s="732"/>
      <c r="P1025" s="732"/>
      <c r="Q1025" s="862"/>
    </row>
    <row r="1026" spans="1:17" s="373" customFormat="1" ht="60" customHeight="1">
      <c r="A1026" s="1542" t="s">
        <v>632</v>
      </c>
      <c r="B1026" s="1544" t="s">
        <v>617</v>
      </c>
      <c r="C1026" s="1538" t="s">
        <v>610</v>
      </c>
      <c r="D1026" s="1538" t="s">
        <v>611</v>
      </c>
      <c r="E1026" s="1538" t="s">
        <v>1453</v>
      </c>
      <c r="F1026" s="1472" t="s">
        <v>159</v>
      </c>
      <c r="G1026" s="1509" t="s">
        <v>110</v>
      </c>
      <c r="H1026" s="1477" t="s">
        <v>316</v>
      </c>
      <c r="I1026" s="1472" t="s">
        <v>315</v>
      </c>
      <c r="J1026" s="1472" t="s">
        <v>317</v>
      </c>
      <c r="K1026" s="1472" t="s">
        <v>318</v>
      </c>
      <c r="L1026" s="569" t="s">
        <v>1443</v>
      </c>
      <c r="M1026" s="569" t="s">
        <v>1444</v>
      </c>
      <c r="N1026" s="752" t="s">
        <v>1445</v>
      </c>
      <c r="O1026" s="1477" t="s">
        <v>1673</v>
      </c>
      <c r="P1026" s="1477" t="s">
        <v>1307</v>
      </c>
      <c r="Q1026" s="1495" t="s">
        <v>1454</v>
      </c>
    </row>
    <row r="1027" spans="1:17" s="373" customFormat="1" ht="15.75" thickBot="1">
      <c r="A1027" s="1543"/>
      <c r="B1027" s="1545"/>
      <c r="C1027" s="1539"/>
      <c r="D1027" s="1539"/>
      <c r="E1027" s="1539"/>
      <c r="F1027" s="1473"/>
      <c r="G1027" s="1510"/>
      <c r="H1027" s="1478"/>
      <c r="I1027" s="1473"/>
      <c r="J1027" s="1473"/>
      <c r="K1027" s="1473"/>
      <c r="L1027" s="570" t="s">
        <v>805</v>
      </c>
      <c r="M1027" s="570" t="s">
        <v>805</v>
      </c>
      <c r="N1027" s="753" t="s">
        <v>1149</v>
      </c>
      <c r="O1027" s="1478"/>
      <c r="P1027" s="1478"/>
      <c r="Q1027" s="1496"/>
    </row>
    <row r="1028" spans="1:17" s="373" customFormat="1" ht="30" customHeight="1">
      <c r="A1028" s="1791" t="s">
        <v>687</v>
      </c>
      <c r="B1028" s="1715" t="s">
        <v>1476</v>
      </c>
      <c r="C1028" s="1611" t="s">
        <v>2072</v>
      </c>
      <c r="D1028" s="1681">
        <f>D1020</f>
        <v>4885</v>
      </c>
      <c r="E1028" s="1681">
        <f>1.1*D1028</f>
        <v>5373.5</v>
      </c>
      <c r="F1028" s="1466" t="s">
        <v>1788</v>
      </c>
      <c r="G1028" s="329" t="s">
        <v>2053</v>
      </c>
      <c r="H1028" s="807" t="s">
        <v>160</v>
      </c>
      <c r="I1028" s="1267">
        <v>4000</v>
      </c>
      <c r="J1028" s="756">
        <f>'preturi unitare'!H40</f>
        <v>154</v>
      </c>
      <c r="K1028" s="756">
        <f>I1028*J1028</f>
        <v>616000</v>
      </c>
      <c r="L1028" s="411">
        <f>K1028</f>
        <v>616000</v>
      </c>
      <c r="M1028" s="411">
        <v>0</v>
      </c>
      <c r="N1028" s="756">
        <v>0</v>
      </c>
      <c r="O1028" s="1463">
        <f>L1032</f>
        <v>1078000</v>
      </c>
      <c r="P1028" s="1463">
        <f>O1028/E1028</f>
        <v>200.61412487205732</v>
      </c>
      <c r="Q1028" s="1497" t="s">
        <v>2055</v>
      </c>
    </row>
    <row r="1029" spans="1:17" s="373" customFormat="1" ht="30">
      <c r="A1029" s="1792"/>
      <c r="B1029" s="1587"/>
      <c r="C1029" s="1626"/>
      <c r="D1029" s="1627"/>
      <c r="E1029" s="1627"/>
      <c r="F1029" s="1467"/>
      <c r="G1029" s="329" t="s">
        <v>2054</v>
      </c>
      <c r="H1029" s="807" t="s">
        <v>160</v>
      </c>
      <c r="I1029" s="776">
        <v>3000</v>
      </c>
      <c r="J1029" s="776">
        <f>J1028</f>
        <v>154</v>
      </c>
      <c r="K1029" s="776">
        <f>I1029*J1029</f>
        <v>462000</v>
      </c>
      <c r="L1029" s="334">
        <f>K1029</f>
        <v>462000</v>
      </c>
      <c r="M1029" s="334">
        <v>0</v>
      </c>
      <c r="N1029" s="776">
        <v>0</v>
      </c>
      <c r="O1029" s="1465"/>
      <c r="P1029" s="1465"/>
      <c r="Q1029" s="1559"/>
    </row>
    <row r="1030" spans="1:17" s="373" customFormat="1">
      <c r="A1030" s="1678"/>
      <c r="B1030" s="1487"/>
      <c r="C1030" s="1599"/>
      <c r="D1030" s="1598"/>
      <c r="E1030" s="1598"/>
      <c r="F1030" s="1468"/>
      <c r="G1030" s="329" t="s">
        <v>2093</v>
      </c>
      <c r="H1030" s="807" t="s">
        <v>280</v>
      </c>
      <c r="I1030" s="1270">
        <v>1</v>
      </c>
      <c r="J1030" s="1270">
        <f>'preturi unitare'!N4</f>
        <v>70000</v>
      </c>
      <c r="K1030" s="1270">
        <f>I1030*J1030</f>
        <v>70000</v>
      </c>
      <c r="L1030" s="334">
        <v>0</v>
      </c>
      <c r="M1030" s="334">
        <f>K1030</f>
        <v>70000</v>
      </c>
      <c r="N1030" s="1270">
        <v>0</v>
      </c>
      <c r="O1030" s="1269"/>
      <c r="P1030" s="1269"/>
      <c r="Q1030" s="1271"/>
    </row>
    <row r="1031" spans="1:17" s="373" customFormat="1">
      <c r="A1031" s="885"/>
      <c r="B1031" s="761"/>
      <c r="C1031" s="761"/>
      <c r="D1031" s="761"/>
      <c r="E1031" s="761"/>
      <c r="F1031" s="762"/>
      <c r="G1031" s="384"/>
      <c r="H1031" s="776"/>
      <c r="I1031" s="776"/>
      <c r="J1031" s="776"/>
      <c r="K1031" s="776"/>
      <c r="L1031" s="334"/>
      <c r="M1031" s="334"/>
      <c r="N1031" s="326"/>
      <c r="O1031" s="776"/>
      <c r="P1031" s="776"/>
      <c r="Q1031" s="584"/>
    </row>
    <row r="1032" spans="1:17" s="373" customFormat="1">
      <c r="A1032" s="1532" t="s">
        <v>478</v>
      </c>
      <c r="B1032" s="1533"/>
      <c r="C1032" s="1533"/>
      <c r="D1032" s="1533"/>
      <c r="E1032" s="1533"/>
      <c r="F1032" s="1533"/>
      <c r="G1032" s="1534"/>
      <c r="H1032" s="364"/>
      <c r="I1032" s="364"/>
      <c r="J1032" s="364"/>
      <c r="K1032" s="364">
        <f>SUM(K1028:K1030)</f>
        <v>1148000</v>
      </c>
      <c r="L1032" s="365">
        <f>SUM(L1028:L1030)</f>
        <v>1078000</v>
      </c>
      <c r="M1032" s="365">
        <f>SUM(M1028:M1030)</f>
        <v>70000</v>
      </c>
      <c r="N1032" s="364">
        <f>SUM(N1028:N1030)</f>
        <v>0</v>
      </c>
      <c r="O1032" s="776"/>
      <c r="P1032" s="776"/>
      <c r="Q1032" s="584"/>
    </row>
    <row r="1033" spans="1:17" s="373" customFormat="1">
      <c r="A1033" s="885"/>
      <c r="B1033" s="782"/>
      <c r="C1033" s="782"/>
      <c r="D1033" s="782"/>
      <c r="E1033" s="782"/>
      <c r="F1033" s="762"/>
      <c r="G1033" s="328"/>
      <c r="H1033" s="776"/>
      <c r="I1033" s="776"/>
      <c r="J1033" s="776"/>
      <c r="K1033" s="776"/>
      <c r="L1033" s="334"/>
      <c r="M1033" s="334"/>
      <c r="N1033" s="776"/>
      <c r="O1033" s="776"/>
      <c r="P1033" s="776"/>
      <c r="Q1033" s="584"/>
    </row>
    <row r="1034" spans="1:17" s="373" customFormat="1" ht="15" customHeight="1" thickBot="1">
      <c r="A1034" s="1474" t="s">
        <v>479</v>
      </c>
      <c r="B1034" s="1475"/>
      <c r="C1034" s="1475"/>
      <c r="D1034" s="1475"/>
      <c r="E1034" s="1475"/>
      <c r="F1034" s="1475"/>
      <c r="G1034" s="1476"/>
      <c r="H1034" s="581"/>
      <c r="I1034" s="581"/>
      <c r="J1034" s="581"/>
      <c r="K1034" s="582">
        <f>K1032+K1024</f>
        <v>1816000</v>
      </c>
      <c r="L1034" s="583">
        <f>L1032+L1024</f>
        <v>1746000</v>
      </c>
      <c r="M1034" s="583">
        <f>M1032+M1024</f>
        <v>70000</v>
      </c>
      <c r="N1034" s="582">
        <f>N1032+N1024</f>
        <v>0</v>
      </c>
      <c r="O1034" s="581"/>
      <c r="P1034" s="581"/>
      <c r="Q1034" s="886"/>
    </row>
    <row r="1035" spans="1:17" s="373" customFormat="1" ht="15.75" thickBot="1">
      <c r="A1035" s="876"/>
      <c r="B1035" s="871"/>
      <c r="C1035" s="871"/>
      <c r="D1035" s="871"/>
      <c r="E1035" s="871"/>
      <c r="F1035" s="595"/>
      <c r="G1035" s="595"/>
      <c r="H1035" s="716"/>
      <c r="I1035" s="716"/>
      <c r="J1035" s="716"/>
      <c r="K1035" s="626"/>
      <c r="L1035" s="592"/>
      <c r="M1035" s="592"/>
      <c r="N1035" s="626"/>
      <c r="O1035" s="716"/>
      <c r="P1035" s="716"/>
      <c r="Q1035" s="876"/>
    </row>
    <row r="1036" spans="1:17" s="373" customFormat="1" ht="15.75" thickBot="1">
      <c r="A1036" s="882"/>
      <c r="B1036" s="639"/>
      <c r="C1036" s="639"/>
      <c r="D1036" s="639"/>
      <c r="E1036" s="639"/>
      <c r="F1036" s="846"/>
      <c r="G1036" s="577" t="s">
        <v>1915</v>
      </c>
      <c r="H1036" s="872"/>
      <c r="I1036" s="873"/>
      <c r="J1036" s="853"/>
      <c r="K1036" s="639"/>
      <c r="L1036" s="640"/>
      <c r="M1036" s="640"/>
      <c r="N1036" s="639"/>
      <c r="O1036" s="712"/>
      <c r="P1036" s="712"/>
      <c r="Q1036" s="883"/>
    </row>
    <row r="1037" spans="1:17" s="373" customFormat="1" ht="15.75" thickBot="1">
      <c r="A1037" s="884"/>
      <c r="B1037" s="355"/>
      <c r="C1037" s="355"/>
      <c r="D1037" s="355"/>
      <c r="E1037" s="355"/>
      <c r="F1037" s="356"/>
      <c r="G1037" s="576"/>
      <c r="H1037" s="358"/>
      <c r="I1037" s="358"/>
      <c r="J1037" s="358"/>
      <c r="K1037" s="358"/>
      <c r="L1037" s="359"/>
      <c r="M1037" s="359"/>
      <c r="N1037" s="358"/>
      <c r="O1037" s="732"/>
      <c r="P1037" s="732"/>
      <c r="Q1037" s="862"/>
    </row>
    <row r="1038" spans="1:17" s="373" customFormat="1" ht="60" customHeight="1">
      <c r="A1038" s="1562" t="s">
        <v>1452</v>
      </c>
      <c r="B1038" s="1538" t="s">
        <v>676</v>
      </c>
      <c r="C1038" s="1564" t="s">
        <v>610</v>
      </c>
      <c r="D1038" s="1538" t="s">
        <v>611</v>
      </c>
      <c r="E1038" s="1538" t="s">
        <v>1453</v>
      </c>
      <c r="F1038" s="1472" t="s">
        <v>159</v>
      </c>
      <c r="G1038" s="1509" t="s">
        <v>110</v>
      </c>
      <c r="H1038" s="1477" t="s">
        <v>316</v>
      </c>
      <c r="I1038" s="1472" t="s">
        <v>315</v>
      </c>
      <c r="J1038" s="1472" t="s">
        <v>317</v>
      </c>
      <c r="K1038" s="1472" t="s">
        <v>318</v>
      </c>
      <c r="L1038" s="569" t="s">
        <v>1443</v>
      </c>
      <c r="M1038" s="569" t="s">
        <v>1444</v>
      </c>
      <c r="N1038" s="752" t="s">
        <v>1445</v>
      </c>
      <c r="O1038" s="1477" t="s">
        <v>1673</v>
      </c>
      <c r="P1038" s="1477" t="s">
        <v>1307</v>
      </c>
      <c r="Q1038" s="1495" t="s">
        <v>1454</v>
      </c>
    </row>
    <row r="1039" spans="1:17" s="373" customFormat="1" ht="15.75" thickBot="1">
      <c r="A1039" s="1563"/>
      <c r="B1039" s="1539"/>
      <c r="C1039" s="1565"/>
      <c r="D1039" s="1539"/>
      <c r="E1039" s="1539"/>
      <c r="F1039" s="1473"/>
      <c r="G1039" s="1510"/>
      <c r="H1039" s="1478"/>
      <c r="I1039" s="1473"/>
      <c r="J1039" s="1473"/>
      <c r="K1039" s="1473"/>
      <c r="L1039" s="570" t="s">
        <v>805</v>
      </c>
      <c r="M1039" s="570" t="s">
        <v>805</v>
      </c>
      <c r="N1039" s="753" t="s">
        <v>1149</v>
      </c>
      <c r="O1039" s="1478"/>
      <c r="P1039" s="1478"/>
      <c r="Q1039" s="1496"/>
    </row>
    <row r="1040" spans="1:17" s="373" customFormat="1" ht="75" customHeight="1">
      <c r="A1040" s="929" t="s">
        <v>1493</v>
      </c>
      <c r="B1040" s="765" t="s">
        <v>1495</v>
      </c>
      <c r="C1040" s="759" t="s">
        <v>688</v>
      </c>
      <c r="D1040" s="769">
        <v>2114</v>
      </c>
      <c r="E1040" s="758" t="s">
        <v>1451</v>
      </c>
      <c r="F1040" s="757" t="s">
        <v>322</v>
      </c>
      <c r="G1040" s="412" t="s">
        <v>504</v>
      </c>
      <c r="H1040" s="414" t="s">
        <v>160</v>
      </c>
      <c r="I1040" s="756">
        <v>2000</v>
      </c>
      <c r="J1040" s="756">
        <f>'preturi unitare'!H23</f>
        <v>68</v>
      </c>
      <c r="K1040" s="756">
        <f>I1040*J1040</f>
        <v>136000</v>
      </c>
      <c r="L1040" s="411">
        <f>K1040</f>
        <v>136000</v>
      </c>
      <c r="M1040" s="411">
        <v>0</v>
      </c>
      <c r="N1040" s="424">
        <v>0</v>
      </c>
      <c r="O1040" s="756">
        <f>L1040</f>
        <v>136000</v>
      </c>
      <c r="P1040" s="756">
        <f>O1040/D1040</f>
        <v>64.333017975402086</v>
      </c>
      <c r="Q1040" s="1006" t="s">
        <v>1646</v>
      </c>
    </row>
    <row r="1041" spans="1:19" s="373" customFormat="1">
      <c r="A1041" s="885"/>
      <c r="B1041" s="326"/>
      <c r="C1041" s="326"/>
      <c r="D1041" s="326"/>
      <c r="E1041" s="326"/>
      <c r="F1041" s="326"/>
      <c r="G1041" s="326"/>
      <c r="H1041" s="326"/>
      <c r="I1041" s="776"/>
      <c r="J1041" s="776"/>
      <c r="K1041" s="776"/>
      <c r="L1041" s="334"/>
      <c r="M1041" s="334"/>
      <c r="N1041" s="326"/>
      <c r="O1041" s="776"/>
      <c r="P1041" s="776"/>
      <c r="Q1041" s="976"/>
    </row>
    <row r="1042" spans="1:19" s="373" customFormat="1">
      <c r="A1042" s="1469" t="s">
        <v>480</v>
      </c>
      <c r="B1042" s="1470"/>
      <c r="C1042" s="1470"/>
      <c r="D1042" s="1470"/>
      <c r="E1042" s="1470"/>
      <c r="F1042" s="1470"/>
      <c r="G1042" s="1471"/>
      <c r="H1042" s="793"/>
      <c r="I1042" s="776"/>
      <c r="J1042" s="776"/>
      <c r="K1042" s="364">
        <f>SUM(K1040:K1040)</f>
        <v>136000</v>
      </c>
      <c r="L1042" s="365">
        <f>SUM(L1040:L1040)</f>
        <v>136000</v>
      </c>
      <c r="M1042" s="365">
        <f>SUM(M1040:M1040)</f>
        <v>0</v>
      </c>
      <c r="N1042" s="408">
        <f>SUM(N1040:N1040)</f>
        <v>0</v>
      </c>
      <c r="O1042" s="776"/>
      <c r="P1042" s="776"/>
      <c r="Q1042" s="584"/>
      <c r="S1042" s="374"/>
    </row>
    <row r="1043" spans="1:19" s="373" customFormat="1" ht="15.75" thickBot="1">
      <c r="A1043" s="884"/>
      <c r="B1043" s="397"/>
      <c r="C1043" s="397"/>
      <c r="D1043" s="397"/>
      <c r="E1043" s="397"/>
      <c r="F1043" s="766"/>
      <c r="G1043" s="417"/>
      <c r="H1043" s="732"/>
      <c r="I1043" s="732"/>
      <c r="J1043" s="732"/>
      <c r="K1043" s="732"/>
      <c r="L1043" s="426"/>
      <c r="M1043" s="426"/>
      <c r="N1043" s="418"/>
      <c r="O1043" s="732"/>
      <c r="P1043" s="732"/>
      <c r="Q1043" s="862"/>
    </row>
    <row r="1044" spans="1:19" s="373" customFormat="1" ht="60" customHeight="1">
      <c r="A1044" s="1542" t="s">
        <v>632</v>
      </c>
      <c r="B1044" s="1544" t="s">
        <v>617</v>
      </c>
      <c r="C1044" s="1538" t="s">
        <v>610</v>
      </c>
      <c r="D1044" s="1538" t="s">
        <v>611</v>
      </c>
      <c r="E1044" s="1538" t="s">
        <v>1453</v>
      </c>
      <c r="F1044" s="1472" t="s">
        <v>159</v>
      </c>
      <c r="G1044" s="1509" t="s">
        <v>110</v>
      </c>
      <c r="H1044" s="1477" t="s">
        <v>316</v>
      </c>
      <c r="I1044" s="1472" t="s">
        <v>315</v>
      </c>
      <c r="J1044" s="1472" t="s">
        <v>317</v>
      </c>
      <c r="K1044" s="1472" t="s">
        <v>318</v>
      </c>
      <c r="L1044" s="569" t="s">
        <v>1443</v>
      </c>
      <c r="M1044" s="569" t="s">
        <v>1444</v>
      </c>
      <c r="N1044" s="752" t="s">
        <v>1445</v>
      </c>
      <c r="O1044" s="1477" t="s">
        <v>1673</v>
      </c>
      <c r="P1044" s="1477" t="s">
        <v>1307</v>
      </c>
      <c r="Q1044" s="1495" t="s">
        <v>1454</v>
      </c>
    </row>
    <row r="1045" spans="1:19" s="373" customFormat="1" ht="15.75" thickBot="1">
      <c r="A1045" s="1543"/>
      <c r="B1045" s="1545"/>
      <c r="C1045" s="1539"/>
      <c r="D1045" s="1539"/>
      <c r="E1045" s="1539"/>
      <c r="F1045" s="1473"/>
      <c r="G1045" s="1510"/>
      <c r="H1045" s="1478"/>
      <c r="I1045" s="1473"/>
      <c r="J1045" s="1473"/>
      <c r="K1045" s="1473"/>
      <c r="L1045" s="570" t="s">
        <v>805</v>
      </c>
      <c r="M1045" s="570" t="s">
        <v>805</v>
      </c>
      <c r="N1045" s="753" t="s">
        <v>1149</v>
      </c>
      <c r="O1045" s="1478"/>
      <c r="P1045" s="1478"/>
      <c r="Q1045" s="1496"/>
    </row>
    <row r="1046" spans="1:19" s="373" customFormat="1" ht="30" customHeight="1">
      <c r="A1046" s="1633" t="s">
        <v>1493</v>
      </c>
      <c r="B1046" s="1611" t="s">
        <v>1494</v>
      </c>
      <c r="C1046" s="1715" t="s">
        <v>688</v>
      </c>
      <c r="D1046" s="1681">
        <v>2114</v>
      </c>
      <c r="E1046" s="1681">
        <f>1.1*D1046</f>
        <v>2325.4</v>
      </c>
      <c r="F1046" s="1466" t="s">
        <v>1979</v>
      </c>
      <c r="G1046" s="423" t="s">
        <v>1980</v>
      </c>
      <c r="H1046" s="431" t="s">
        <v>160</v>
      </c>
      <c r="I1046" s="436">
        <v>220</v>
      </c>
      <c r="J1046" s="756">
        <v>17</v>
      </c>
      <c r="K1046" s="756">
        <f>I1046*J1046</f>
        <v>3740</v>
      </c>
      <c r="L1046" s="411">
        <f t="shared" ref="L1046:L1062" si="88">K1046</f>
        <v>3740</v>
      </c>
      <c r="M1046" s="411">
        <v>0</v>
      </c>
      <c r="N1046" s="928">
        <f>M1046</f>
        <v>0</v>
      </c>
      <c r="O1046" s="1463">
        <f>L1064</f>
        <v>2289813</v>
      </c>
      <c r="P1046" s="1463">
        <f>O1046/E1046</f>
        <v>984.69639631891289</v>
      </c>
      <c r="Q1046" s="1497" t="s">
        <v>1647</v>
      </c>
    </row>
    <row r="1047" spans="1:19" s="373" customFormat="1" ht="30">
      <c r="A1047" s="1630"/>
      <c r="B1047" s="1626"/>
      <c r="C1047" s="1587"/>
      <c r="D1047" s="1627"/>
      <c r="E1047" s="1627"/>
      <c r="F1047" s="1467"/>
      <c r="G1047" s="423" t="s">
        <v>1981</v>
      </c>
      <c r="H1047" s="807" t="s">
        <v>160</v>
      </c>
      <c r="I1047" s="776">
        <v>140</v>
      </c>
      <c r="J1047" s="776">
        <v>21</v>
      </c>
      <c r="K1047" s="776">
        <f>I1047*J1047</f>
        <v>2940</v>
      </c>
      <c r="L1047" s="334">
        <f t="shared" si="88"/>
        <v>2940</v>
      </c>
      <c r="M1047" s="334">
        <v>0</v>
      </c>
      <c r="N1047" s="928">
        <f t="shared" ref="N1047:N1062" si="89">M1047</f>
        <v>0</v>
      </c>
      <c r="O1047" s="1464"/>
      <c r="P1047" s="1464"/>
      <c r="Q1047" s="1646"/>
    </row>
    <row r="1048" spans="1:19" s="373" customFormat="1" ht="30">
      <c r="A1048" s="1630"/>
      <c r="B1048" s="1626"/>
      <c r="C1048" s="1587"/>
      <c r="D1048" s="1627"/>
      <c r="E1048" s="1627"/>
      <c r="F1048" s="1467"/>
      <c r="G1048" s="423" t="s">
        <v>1982</v>
      </c>
      <c r="H1048" s="807" t="s">
        <v>160</v>
      </c>
      <c r="I1048" s="776">
        <v>347</v>
      </c>
      <c r="J1048" s="776">
        <v>28</v>
      </c>
      <c r="K1048" s="776">
        <f>I1048*J1048</f>
        <v>9716</v>
      </c>
      <c r="L1048" s="334">
        <f t="shared" si="88"/>
        <v>9716</v>
      </c>
      <c r="M1048" s="334">
        <v>0</v>
      </c>
      <c r="N1048" s="928">
        <f t="shared" si="89"/>
        <v>0</v>
      </c>
      <c r="O1048" s="1464"/>
      <c r="P1048" s="1464"/>
      <c r="Q1048" s="1646"/>
    </row>
    <row r="1049" spans="1:19" s="373" customFormat="1" ht="60">
      <c r="A1049" s="1630"/>
      <c r="B1049" s="1626"/>
      <c r="C1049" s="1587"/>
      <c r="D1049" s="1627"/>
      <c r="E1049" s="1627"/>
      <c r="F1049" s="1468"/>
      <c r="G1049" s="423" t="s">
        <v>1999</v>
      </c>
      <c r="H1049" s="807" t="s">
        <v>160</v>
      </c>
      <c r="I1049" s="1189">
        <v>3013</v>
      </c>
      <c r="J1049" s="1189">
        <f>'preturi unitare'!H25</f>
        <v>94</v>
      </c>
      <c r="K1049" s="1189">
        <f>J1049*I1049</f>
        <v>283222</v>
      </c>
      <c r="L1049" s="334">
        <f t="shared" si="88"/>
        <v>283222</v>
      </c>
      <c r="M1049" s="334">
        <v>0</v>
      </c>
      <c r="N1049" s="928">
        <f t="shared" si="89"/>
        <v>0</v>
      </c>
      <c r="O1049" s="1464"/>
      <c r="P1049" s="1464"/>
      <c r="Q1049" s="1646"/>
    </row>
    <row r="1050" spans="1:19" s="373" customFormat="1" ht="45" customHeight="1">
      <c r="A1050" s="1630"/>
      <c r="B1050" s="1626"/>
      <c r="C1050" s="1587"/>
      <c r="D1050" s="1627"/>
      <c r="E1050" s="1627"/>
      <c r="F1050" s="1687" t="s">
        <v>1788</v>
      </c>
      <c r="G1050" s="362" t="s">
        <v>1987</v>
      </c>
      <c r="H1050" s="807" t="s">
        <v>160</v>
      </c>
      <c r="I1050" s="1189">
        <v>1865</v>
      </c>
      <c r="J1050" s="1189">
        <f>'preturi unitare'!H40</f>
        <v>154</v>
      </c>
      <c r="K1050" s="1189">
        <f>I1050*J1050</f>
        <v>287210</v>
      </c>
      <c r="L1050" s="334">
        <f t="shared" si="88"/>
        <v>287210</v>
      </c>
      <c r="M1050" s="334">
        <v>0</v>
      </c>
      <c r="N1050" s="928">
        <f t="shared" si="89"/>
        <v>0</v>
      </c>
      <c r="O1050" s="1464"/>
      <c r="P1050" s="1464"/>
      <c r="Q1050" s="1646"/>
    </row>
    <row r="1051" spans="1:19" s="373" customFormat="1" ht="45" customHeight="1">
      <c r="A1051" s="1630"/>
      <c r="B1051" s="1626"/>
      <c r="C1051" s="1587"/>
      <c r="D1051" s="1627"/>
      <c r="E1051" s="1627"/>
      <c r="F1051" s="1467"/>
      <c r="G1051" s="362" t="s">
        <v>1988</v>
      </c>
      <c r="H1051" s="807" t="s">
        <v>160</v>
      </c>
      <c r="I1051" s="1189">
        <v>205</v>
      </c>
      <c r="J1051" s="1189">
        <f>'preturi unitare'!H39</f>
        <v>134</v>
      </c>
      <c r="K1051" s="1189">
        <f>I1051*J1051</f>
        <v>27470</v>
      </c>
      <c r="L1051" s="334">
        <f t="shared" si="88"/>
        <v>27470</v>
      </c>
      <c r="M1051" s="334">
        <v>0</v>
      </c>
      <c r="N1051" s="928">
        <f t="shared" si="89"/>
        <v>0</v>
      </c>
      <c r="O1051" s="1464"/>
      <c r="P1051" s="1464"/>
      <c r="Q1051" s="1646"/>
    </row>
    <row r="1052" spans="1:19" s="373" customFormat="1" ht="49.5" customHeight="1">
      <c r="A1052" s="1630"/>
      <c r="B1052" s="1626"/>
      <c r="C1052" s="1587"/>
      <c r="D1052" s="1627"/>
      <c r="E1052" s="1627"/>
      <c r="F1052" s="1467"/>
      <c r="G1052" s="362" t="s">
        <v>1989</v>
      </c>
      <c r="H1052" s="807" t="s">
        <v>160</v>
      </c>
      <c r="I1052" s="1189">
        <v>4185</v>
      </c>
      <c r="J1052" s="1189">
        <f>'preturi unitare'!H40</f>
        <v>154</v>
      </c>
      <c r="K1052" s="1189">
        <f>J1052*I1052</f>
        <v>644490</v>
      </c>
      <c r="L1052" s="334">
        <f t="shared" si="88"/>
        <v>644490</v>
      </c>
      <c r="M1052" s="334">
        <v>0</v>
      </c>
      <c r="N1052" s="928">
        <f t="shared" si="89"/>
        <v>0</v>
      </c>
      <c r="O1052" s="1464"/>
      <c r="P1052" s="1464"/>
      <c r="Q1052" s="1646"/>
    </row>
    <row r="1053" spans="1:19" s="373" customFormat="1" ht="45" customHeight="1">
      <c r="A1053" s="1630"/>
      <c r="B1053" s="1626"/>
      <c r="C1053" s="1587"/>
      <c r="D1053" s="1627"/>
      <c r="E1053" s="1627"/>
      <c r="F1053" s="1467"/>
      <c r="G1053" s="362" t="s">
        <v>1986</v>
      </c>
      <c r="H1053" s="807" t="s">
        <v>160</v>
      </c>
      <c r="I1053" s="1189">
        <v>1210</v>
      </c>
      <c r="J1053" s="1189">
        <f>'preturi unitare'!H39</f>
        <v>134</v>
      </c>
      <c r="K1053" s="1189">
        <f t="shared" ref="K1053:K1062" si="90">I1053*J1053</f>
        <v>162140</v>
      </c>
      <c r="L1053" s="334">
        <f t="shared" si="88"/>
        <v>162140</v>
      </c>
      <c r="M1053" s="334">
        <v>0</v>
      </c>
      <c r="N1053" s="928">
        <f t="shared" si="89"/>
        <v>0</v>
      </c>
      <c r="O1053" s="1464"/>
      <c r="P1053" s="1464"/>
      <c r="Q1053" s="1646"/>
    </row>
    <row r="1054" spans="1:19" s="373" customFormat="1" ht="50.25" customHeight="1">
      <c r="A1054" s="1630"/>
      <c r="B1054" s="1626"/>
      <c r="C1054" s="1587"/>
      <c r="D1054" s="1627"/>
      <c r="E1054" s="1627"/>
      <c r="F1054" s="1467"/>
      <c r="G1054" s="362" t="s">
        <v>1990</v>
      </c>
      <c r="H1054" s="807" t="s">
        <v>160</v>
      </c>
      <c r="I1054" s="1189">
        <v>720</v>
      </c>
      <c r="J1054" s="1189">
        <v>70</v>
      </c>
      <c r="K1054" s="1189">
        <f t="shared" si="90"/>
        <v>50400</v>
      </c>
      <c r="L1054" s="334">
        <f t="shared" si="88"/>
        <v>50400</v>
      </c>
      <c r="M1054" s="334">
        <v>0</v>
      </c>
      <c r="N1054" s="928">
        <f t="shared" si="89"/>
        <v>0</v>
      </c>
      <c r="O1054" s="1464"/>
      <c r="P1054" s="1464"/>
      <c r="Q1054" s="1646"/>
    </row>
    <row r="1055" spans="1:19" s="373" customFormat="1" ht="45" customHeight="1">
      <c r="A1055" s="1630"/>
      <c r="B1055" s="1626"/>
      <c r="C1055" s="1587"/>
      <c r="D1055" s="1627"/>
      <c r="E1055" s="1627"/>
      <c r="F1055" s="1468"/>
      <c r="G1055" s="362" t="s">
        <v>1991</v>
      </c>
      <c r="H1055" s="807" t="s">
        <v>160</v>
      </c>
      <c r="I1055" s="1189">
        <v>715</v>
      </c>
      <c r="J1055" s="1189">
        <v>79</v>
      </c>
      <c r="K1055" s="1189">
        <f t="shared" si="90"/>
        <v>56485</v>
      </c>
      <c r="L1055" s="334">
        <f t="shared" si="88"/>
        <v>56485</v>
      </c>
      <c r="M1055" s="334">
        <v>0</v>
      </c>
      <c r="N1055" s="928">
        <f t="shared" si="89"/>
        <v>0</v>
      </c>
      <c r="O1055" s="1464"/>
      <c r="P1055" s="1464"/>
      <c r="Q1055" s="1646"/>
    </row>
    <row r="1056" spans="1:19" s="373" customFormat="1">
      <c r="A1056" s="1630"/>
      <c r="B1056" s="1626"/>
      <c r="C1056" s="1587"/>
      <c r="D1056" s="1627"/>
      <c r="E1056" s="1627"/>
      <c r="F1056" s="1687" t="s">
        <v>1995</v>
      </c>
      <c r="G1056" s="329" t="s">
        <v>1983</v>
      </c>
      <c r="H1056" s="807" t="s">
        <v>280</v>
      </c>
      <c r="I1056" s="1189">
        <v>2</v>
      </c>
      <c r="J1056" s="1189">
        <v>1400</v>
      </c>
      <c r="K1056" s="1189">
        <f t="shared" si="90"/>
        <v>2800</v>
      </c>
      <c r="L1056" s="334">
        <f t="shared" si="88"/>
        <v>2800</v>
      </c>
      <c r="M1056" s="334">
        <v>0</v>
      </c>
      <c r="N1056" s="928">
        <f t="shared" si="89"/>
        <v>0</v>
      </c>
      <c r="O1056" s="1464"/>
      <c r="P1056" s="1464"/>
      <c r="Q1056" s="1646"/>
    </row>
    <row r="1057" spans="1:17" s="373" customFormat="1" ht="30">
      <c r="A1057" s="1630"/>
      <c r="B1057" s="1626"/>
      <c r="C1057" s="1587"/>
      <c r="D1057" s="1627"/>
      <c r="E1057" s="1627"/>
      <c r="F1057" s="1468"/>
      <c r="G1057" s="329" t="s">
        <v>1996</v>
      </c>
      <c r="H1057" s="807" t="s">
        <v>280</v>
      </c>
      <c r="I1057" s="1189">
        <v>60</v>
      </c>
      <c r="J1057" s="1189">
        <v>100</v>
      </c>
      <c r="K1057" s="1189">
        <f t="shared" si="90"/>
        <v>6000</v>
      </c>
      <c r="L1057" s="334">
        <f t="shared" si="88"/>
        <v>6000</v>
      </c>
      <c r="M1057" s="334">
        <v>0</v>
      </c>
      <c r="N1057" s="928">
        <f t="shared" si="89"/>
        <v>0</v>
      </c>
      <c r="O1057" s="1464"/>
      <c r="P1057" s="1464"/>
      <c r="Q1057" s="1646"/>
    </row>
    <row r="1058" spans="1:17" s="373" customFormat="1" ht="30">
      <c r="A1058" s="1630"/>
      <c r="B1058" s="1626"/>
      <c r="C1058" s="1587"/>
      <c r="D1058" s="1627"/>
      <c r="E1058" s="1627"/>
      <c r="F1058" s="1192" t="s">
        <v>1984</v>
      </c>
      <c r="G1058" s="329" t="s">
        <v>1985</v>
      </c>
      <c r="H1058" s="807" t="s">
        <v>280</v>
      </c>
      <c r="I1058" s="1189">
        <v>4</v>
      </c>
      <c r="J1058" s="1189">
        <v>2350</v>
      </c>
      <c r="K1058" s="1189">
        <f t="shared" si="90"/>
        <v>9400</v>
      </c>
      <c r="L1058" s="334">
        <f t="shared" si="88"/>
        <v>9400</v>
      </c>
      <c r="M1058" s="334">
        <v>0</v>
      </c>
      <c r="N1058" s="928">
        <f t="shared" si="89"/>
        <v>0</v>
      </c>
      <c r="O1058" s="1464"/>
      <c r="P1058" s="1464"/>
      <c r="Q1058" s="1646"/>
    </row>
    <row r="1059" spans="1:17" s="373" customFormat="1" ht="30">
      <c r="A1059" s="1630"/>
      <c r="B1059" s="1626"/>
      <c r="C1059" s="1587"/>
      <c r="D1059" s="1627"/>
      <c r="E1059" s="1627"/>
      <c r="F1059" s="1687" t="s">
        <v>1992</v>
      </c>
      <c r="G1059" s="329" t="s">
        <v>1993</v>
      </c>
      <c r="H1059" s="807" t="s">
        <v>280</v>
      </c>
      <c r="I1059" s="1189">
        <v>16</v>
      </c>
      <c r="J1059" s="1189">
        <v>1400</v>
      </c>
      <c r="K1059" s="1189">
        <f t="shared" si="90"/>
        <v>22400</v>
      </c>
      <c r="L1059" s="334">
        <f t="shared" si="88"/>
        <v>22400</v>
      </c>
      <c r="M1059" s="334">
        <v>0</v>
      </c>
      <c r="N1059" s="928">
        <f t="shared" si="89"/>
        <v>0</v>
      </c>
      <c r="O1059" s="1464"/>
      <c r="P1059" s="1464"/>
      <c r="Q1059" s="1646"/>
    </row>
    <row r="1060" spans="1:17" s="373" customFormat="1">
      <c r="A1060" s="1630"/>
      <c r="B1060" s="1626"/>
      <c r="C1060" s="1587"/>
      <c r="D1060" s="1627"/>
      <c r="E1060" s="1627"/>
      <c r="F1060" s="1468"/>
      <c r="G1060" s="329" t="s">
        <v>1994</v>
      </c>
      <c r="H1060" s="807" t="s">
        <v>280</v>
      </c>
      <c r="I1060" s="1189">
        <v>1</v>
      </c>
      <c r="J1060" s="1189">
        <v>2400</v>
      </c>
      <c r="K1060" s="1189">
        <f t="shared" si="90"/>
        <v>2400</v>
      </c>
      <c r="L1060" s="334">
        <f t="shared" si="88"/>
        <v>2400</v>
      </c>
      <c r="M1060" s="334">
        <v>0</v>
      </c>
      <c r="N1060" s="928">
        <f t="shared" si="89"/>
        <v>0</v>
      </c>
      <c r="O1060" s="1464"/>
      <c r="P1060" s="1464"/>
      <c r="Q1060" s="1646"/>
    </row>
    <row r="1061" spans="1:17" s="373" customFormat="1" ht="30">
      <c r="A1061" s="1630"/>
      <c r="B1061" s="1626"/>
      <c r="C1061" s="1587"/>
      <c r="D1061" s="1627"/>
      <c r="E1061" s="1627"/>
      <c r="F1061" s="1687" t="s">
        <v>321</v>
      </c>
      <c r="G1061" s="362" t="s">
        <v>1998</v>
      </c>
      <c r="H1061" s="807" t="s">
        <v>280</v>
      </c>
      <c r="I1061" s="1189">
        <v>5</v>
      </c>
      <c r="J1061" s="1189">
        <v>50000</v>
      </c>
      <c r="K1061" s="1189">
        <f t="shared" si="90"/>
        <v>250000</v>
      </c>
      <c r="L1061" s="334">
        <f t="shared" si="88"/>
        <v>250000</v>
      </c>
      <c r="M1061" s="334">
        <v>0</v>
      </c>
      <c r="N1061" s="928">
        <f t="shared" si="89"/>
        <v>0</v>
      </c>
      <c r="O1061" s="1464"/>
      <c r="P1061" s="1464"/>
      <c r="Q1061" s="1646"/>
    </row>
    <row r="1062" spans="1:17" s="373" customFormat="1" ht="30">
      <c r="A1062" s="1634"/>
      <c r="B1062" s="1599"/>
      <c r="C1062" s="1487"/>
      <c r="D1062" s="1598"/>
      <c r="E1062" s="1598"/>
      <c r="F1062" s="1468"/>
      <c r="G1062" s="362" t="s">
        <v>1997</v>
      </c>
      <c r="H1062" s="807" t="s">
        <v>280</v>
      </c>
      <c r="I1062" s="1189">
        <v>7</v>
      </c>
      <c r="J1062" s="1189">
        <f>'preturi unitare'!B32</f>
        <v>67000</v>
      </c>
      <c r="K1062" s="1189">
        <f t="shared" si="90"/>
        <v>469000</v>
      </c>
      <c r="L1062" s="334">
        <f t="shared" si="88"/>
        <v>469000</v>
      </c>
      <c r="M1062" s="334">
        <v>0</v>
      </c>
      <c r="N1062" s="928">
        <f t="shared" si="89"/>
        <v>0</v>
      </c>
      <c r="O1062" s="1465"/>
      <c r="P1062" s="1465"/>
      <c r="Q1062" s="1559"/>
    </row>
    <row r="1063" spans="1:17" s="373" customFormat="1">
      <c r="A1063" s="1200"/>
      <c r="B1063" s="1193"/>
      <c r="C1063" s="1198"/>
      <c r="D1063" s="1197"/>
      <c r="E1063" s="1196"/>
      <c r="F1063" s="1192"/>
      <c r="G1063" s="362"/>
      <c r="H1063" s="807"/>
      <c r="I1063" s="1189"/>
      <c r="J1063" s="1189"/>
      <c r="K1063" s="1189"/>
      <c r="L1063" s="334"/>
      <c r="M1063" s="334"/>
      <c r="N1063" s="392"/>
      <c r="O1063" s="1189"/>
      <c r="P1063" s="1189"/>
      <c r="Q1063" s="1195"/>
    </row>
    <row r="1064" spans="1:17" s="373" customFormat="1">
      <c r="A1064" s="1535" t="s">
        <v>481</v>
      </c>
      <c r="B1064" s="1536"/>
      <c r="C1064" s="1536"/>
      <c r="D1064" s="1536"/>
      <c r="E1064" s="1536"/>
      <c r="F1064" s="1536"/>
      <c r="G1064" s="1537"/>
      <c r="H1064" s="364"/>
      <c r="I1064" s="364"/>
      <c r="J1064" s="364"/>
      <c r="K1064" s="364">
        <f>SUM(K1046:K1062)</f>
        <v>2289813</v>
      </c>
      <c r="L1064" s="365">
        <f>SUM(L1046:L1062)</f>
        <v>2289813</v>
      </c>
      <c r="M1064" s="365">
        <f>SUM(M1046:M1048)</f>
        <v>0</v>
      </c>
      <c r="N1064" s="601">
        <f>SUM(N1046:N1048)</f>
        <v>0</v>
      </c>
      <c r="O1064" s="776"/>
      <c r="P1064" s="776"/>
      <c r="Q1064" s="584"/>
    </row>
    <row r="1065" spans="1:17" s="373" customFormat="1">
      <c r="A1065" s="885"/>
      <c r="B1065" s="782"/>
      <c r="C1065" s="782"/>
      <c r="D1065" s="782"/>
      <c r="E1065" s="782"/>
      <c r="F1065" s="762"/>
      <c r="G1065" s="328"/>
      <c r="H1065" s="776"/>
      <c r="I1065" s="776"/>
      <c r="J1065" s="776"/>
      <c r="K1065" s="776"/>
      <c r="L1065" s="334"/>
      <c r="M1065" s="334"/>
      <c r="N1065" s="389"/>
      <c r="O1065" s="776"/>
      <c r="P1065" s="776"/>
      <c r="Q1065" s="584"/>
    </row>
    <row r="1066" spans="1:17" s="373" customFormat="1" ht="15" customHeight="1" thickBot="1">
      <c r="A1066" s="1474" t="s">
        <v>482</v>
      </c>
      <c r="B1066" s="1475"/>
      <c r="C1066" s="1475"/>
      <c r="D1066" s="1475"/>
      <c r="E1066" s="1475"/>
      <c r="F1066" s="1475"/>
      <c r="G1066" s="1476"/>
      <c r="H1066" s="581"/>
      <c r="I1066" s="581"/>
      <c r="J1066" s="581"/>
      <c r="K1066" s="582">
        <f>K1064+K1042</f>
        <v>2425813</v>
      </c>
      <c r="L1066" s="583">
        <f>L1042+L1064</f>
        <v>2425813</v>
      </c>
      <c r="M1066" s="583">
        <f>M1042+M1064</f>
        <v>0</v>
      </c>
      <c r="N1066" s="591">
        <f>N1042+N1064</f>
        <v>0</v>
      </c>
      <c r="O1066" s="581"/>
      <c r="P1066" s="581"/>
      <c r="Q1066" s="886"/>
    </row>
    <row r="1067" spans="1:17" s="373" customFormat="1" ht="15.75" thickBot="1">
      <c r="A1067" s="876"/>
      <c r="B1067" s="871"/>
      <c r="C1067" s="871"/>
      <c r="D1067" s="871"/>
      <c r="E1067" s="871"/>
      <c r="F1067" s="595"/>
      <c r="G1067" s="595"/>
      <c r="H1067" s="716"/>
      <c r="I1067" s="716"/>
      <c r="J1067" s="716"/>
      <c r="K1067" s="626"/>
      <c r="L1067" s="592"/>
      <c r="M1067" s="592"/>
      <c r="N1067" s="626"/>
      <c r="O1067" s="716"/>
      <c r="P1067" s="716"/>
      <c r="Q1067" s="876"/>
    </row>
    <row r="1068" spans="1:17" s="373" customFormat="1" ht="15.75" thickBot="1">
      <c r="A1068" s="882"/>
      <c r="B1068" s="639"/>
      <c r="C1068" s="639"/>
      <c r="D1068" s="639"/>
      <c r="E1068" s="639"/>
      <c r="F1068" s="846"/>
      <c r="G1068" s="577" t="s">
        <v>1916</v>
      </c>
      <c r="H1068" s="952"/>
      <c r="I1068" s="953"/>
      <c r="J1068" s="853"/>
      <c r="K1068" s="639"/>
      <c r="L1068" s="640"/>
      <c r="M1068" s="640"/>
      <c r="N1068" s="639"/>
      <c r="O1068" s="712"/>
      <c r="P1068" s="712"/>
      <c r="Q1068" s="883"/>
    </row>
    <row r="1069" spans="1:17" s="373" customFormat="1" ht="15.75" thickBot="1">
      <c r="A1069" s="884"/>
      <c r="B1069" s="355"/>
      <c r="C1069" s="355"/>
      <c r="D1069" s="355"/>
      <c r="E1069" s="355"/>
      <c r="F1069" s="356"/>
      <c r="G1069" s="576"/>
      <c r="H1069" s="358"/>
      <c r="I1069" s="358"/>
      <c r="J1069" s="358"/>
      <c r="K1069" s="358"/>
      <c r="L1069" s="359"/>
      <c r="M1069" s="359"/>
      <c r="N1069" s="358"/>
      <c r="O1069" s="732"/>
      <c r="P1069" s="732"/>
      <c r="Q1069" s="862"/>
    </row>
    <row r="1070" spans="1:17" s="373" customFormat="1" ht="60" customHeight="1">
      <c r="A1070" s="1562" t="s">
        <v>1452</v>
      </c>
      <c r="B1070" s="1538" t="s">
        <v>676</v>
      </c>
      <c r="C1070" s="1564" t="s">
        <v>610</v>
      </c>
      <c r="D1070" s="1538" t="s">
        <v>611</v>
      </c>
      <c r="E1070" s="1538" t="s">
        <v>1453</v>
      </c>
      <c r="F1070" s="1472" t="s">
        <v>159</v>
      </c>
      <c r="G1070" s="1509" t="s">
        <v>110</v>
      </c>
      <c r="H1070" s="1477" t="s">
        <v>316</v>
      </c>
      <c r="I1070" s="1472" t="s">
        <v>315</v>
      </c>
      <c r="J1070" s="1472" t="s">
        <v>317</v>
      </c>
      <c r="K1070" s="1472" t="s">
        <v>318</v>
      </c>
      <c r="L1070" s="569" t="s">
        <v>1443</v>
      </c>
      <c r="M1070" s="569" t="s">
        <v>1444</v>
      </c>
      <c r="N1070" s="752" t="s">
        <v>1445</v>
      </c>
      <c r="O1070" s="1477" t="s">
        <v>1673</v>
      </c>
      <c r="P1070" s="1477" t="s">
        <v>1307</v>
      </c>
      <c r="Q1070" s="1495" t="s">
        <v>1454</v>
      </c>
    </row>
    <row r="1071" spans="1:17" s="373" customFormat="1" ht="15.75" thickBot="1">
      <c r="A1071" s="1563"/>
      <c r="B1071" s="1539"/>
      <c r="C1071" s="1565"/>
      <c r="D1071" s="1539"/>
      <c r="E1071" s="1539"/>
      <c r="F1071" s="1473"/>
      <c r="G1071" s="1510"/>
      <c r="H1071" s="1478"/>
      <c r="I1071" s="1473"/>
      <c r="J1071" s="1473"/>
      <c r="K1071" s="1473"/>
      <c r="L1071" s="570" t="s">
        <v>805</v>
      </c>
      <c r="M1071" s="570" t="s">
        <v>805</v>
      </c>
      <c r="N1071" s="753" t="s">
        <v>1149</v>
      </c>
      <c r="O1071" s="1478"/>
      <c r="P1071" s="1478"/>
      <c r="Q1071" s="1496"/>
    </row>
    <row r="1072" spans="1:17" s="373" customFormat="1" ht="60">
      <c r="A1072" s="929" t="s">
        <v>689</v>
      </c>
      <c r="B1072" s="765" t="s">
        <v>1496</v>
      </c>
      <c r="C1072" s="781" t="s">
        <v>689</v>
      </c>
      <c r="D1072" s="769">
        <v>2880</v>
      </c>
      <c r="E1072" s="758" t="s">
        <v>1451</v>
      </c>
      <c r="F1072" s="757" t="s">
        <v>322</v>
      </c>
      <c r="G1072" s="412" t="s">
        <v>505</v>
      </c>
      <c r="H1072" s="414" t="s">
        <v>160</v>
      </c>
      <c r="I1072" s="756">
        <v>5000</v>
      </c>
      <c r="J1072" s="756">
        <f>'preturi unitare'!H22</f>
        <v>64</v>
      </c>
      <c r="K1072" s="756">
        <f>I1072*J1072</f>
        <v>320000</v>
      </c>
      <c r="L1072" s="411">
        <f>K1072</f>
        <v>320000</v>
      </c>
      <c r="M1072" s="411">
        <v>0</v>
      </c>
      <c r="N1072" s="424">
        <v>0</v>
      </c>
      <c r="O1072" s="756">
        <f>L1072</f>
        <v>320000</v>
      </c>
      <c r="P1072" s="756">
        <f>O1072/D1072</f>
        <v>111.11111111111111</v>
      </c>
      <c r="Q1072" s="1006" t="s">
        <v>1648</v>
      </c>
    </row>
    <row r="1073" spans="1:19" s="373" customFormat="1">
      <c r="A1073" s="885"/>
      <c r="B1073" s="326"/>
      <c r="C1073" s="326"/>
      <c r="D1073" s="326"/>
      <c r="E1073" s="326"/>
      <c r="F1073" s="326"/>
      <c r="G1073" s="326"/>
      <c r="H1073" s="326"/>
      <c r="I1073" s="776"/>
      <c r="J1073" s="776"/>
      <c r="K1073" s="776"/>
      <c r="L1073" s="334"/>
      <c r="M1073" s="334"/>
      <c r="N1073" s="326"/>
      <c r="O1073" s="776"/>
      <c r="P1073" s="776"/>
      <c r="Q1073" s="584"/>
    </row>
    <row r="1074" spans="1:19" s="373" customFormat="1">
      <c r="A1074" s="1469" t="s">
        <v>483</v>
      </c>
      <c r="B1074" s="1470"/>
      <c r="C1074" s="1470"/>
      <c r="D1074" s="1470"/>
      <c r="E1074" s="1470"/>
      <c r="F1074" s="1470"/>
      <c r="G1074" s="1471"/>
      <c r="H1074" s="793"/>
      <c r="I1074" s="776"/>
      <c r="J1074" s="776"/>
      <c r="K1074" s="364">
        <f>K1072</f>
        <v>320000</v>
      </c>
      <c r="L1074" s="365">
        <f>SUM(L1072:L1072)</f>
        <v>320000</v>
      </c>
      <c r="M1074" s="365">
        <f>SUM(M1072:M1072)</f>
        <v>0</v>
      </c>
      <c r="N1074" s="364">
        <f>SUM(N1072:N1072)</f>
        <v>0</v>
      </c>
      <c r="O1074" s="776"/>
      <c r="P1074" s="776"/>
      <c r="Q1074" s="584"/>
      <c r="S1074" s="374"/>
    </row>
    <row r="1075" spans="1:19" s="373" customFormat="1" ht="15.75" thickBot="1">
      <c r="A1075" s="884"/>
      <c r="B1075" s="397"/>
      <c r="C1075" s="397"/>
      <c r="D1075" s="397"/>
      <c r="E1075" s="397"/>
      <c r="F1075" s="766"/>
      <c r="G1075" s="417"/>
      <c r="H1075" s="732"/>
      <c r="I1075" s="732"/>
      <c r="J1075" s="732"/>
      <c r="K1075" s="732"/>
      <c r="L1075" s="426"/>
      <c r="M1075" s="426"/>
      <c r="N1075" s="418"/>
      <c r="O1075" s="732"/>
      <c r="P1075" s="732"/>
      <c r="Q1075" s="862"/>
    </row>
    <row r="1076" spans="1:19" s="373" customFormat="1" ht="60" customHeight="1">
      <c r="A1076" s="1542" t="s">
        <v>632</v>
      </c>
      <c r="B1076" s="1544" t="s">
        <v>617</v>
      </c>
      <c r="C1076" s="1538" t="s">
        <v>610</v>
      </c>
      <c r="D1076" s="1538" t="s">
        <v>611</v>
      </c>
      <c r="E1076" s="1538" t="s">
        <v>1453</v>
      </c>
      <c r="F1076" s="1472" t="s">
        <v>159</v>
      </c>
      <c r="G1076" s="1509" t="s">
        <v>110</v>
      </c>
      <c r="H1076" s="1477" t="s">
        <v>316</v>
      </c>
      <c r="I1076" s="1472" t="s">
        <v>315</v>
      </c>
      <c r="J1076" s="1472" t="s">
        <v>317</v>
      </c>
      <c r="K1076" s="1472" t="s">
        <v>318</v>
      </c>
      <c r="L1076" s="569" t="s">
        <v>1443</v>
      </c>
      <c r="M1076" s="569" t="s">
        <v>1444</v>
      </c>
      <c r="N1076" s="752" t="s">
        <v>1445</v>
      </c>
      <c r="O1076" s="1477" t="s">
        <v>1673</v>
      </c>
      <c r="P1076" s="1477" t="s">
        <v>1307</v>
      </c>
      <c r="Q1076" s="1495" t="s">
        <v>1454</v>
      </c>
    </row>
    <row r="1077" spans="1:19" s="373" customFormat="1" ht="15.75" thickBot="1">
      <c r="A1077" s="1543"/>
      <c r="B1077" s="1545"/>
      <c r="C1077" s="1539"/>
      <c r="D1077" s="1539"/>
      <c r="E1077" s="1539"/>
      <c r="F1077" s="1473"/>
      <c r="G1077" s="1510"/>
      <c r="H1077" s="1478"/>
      <c r="I1077" s="1473"/>
      <c r="J1077" s="1473"/>
      <c r="K1077" s="1473"/>
      <c r="L1077" s="570" t="s">
        <v>805</v>
      </c>
      <c r="M1077" s="570" t="s">
        <v>805</v>
      </c>
      <c r="N1077" s="753" t="s">
        <v>1149</v>
      </c>
      <c r="O1077" s="1478"/>
      <c r="P1077" s="1478"/>
      <c r="Q1077" s="1496"/>
    </row>
    <row r="1078" spans="1:19" s="373" customFormat="1" ht="79.5" customHeight="1">
      <c r="A1078" s="929" t="s">
        <v>689</v>
      </c>
      <c r="B1078" s="765" t="s">
        <v>1494</v>
      </c>
      <c r="C1078" s="759" t="s">
        <v>689</v>
      </c>
      <c r="D1078" s="758">
        <f>D1072</f>
        <v>2880</v>
      </c>
      <c r="E1078" s="758">
        <f>1.1*D1078</f>
        <v>3168.0000000000005</v>
      </c>
      <c r="F1078" s="757" t="s">
        <v>325</v>
      </c>
      <c r="G1078" s="412" t="s">
        <v>506</v>
      </c>
      <c r="H1078" s="414" t="s">
        <v>160</v>
      </c>
      <c r="I1078" s="756">
        <v>4000</v>
      </c>
      <c r="J1078" s="756">
        <f>'preturi unitare'!H40</f>
        <v>154</v>
      </c>
      <c r="K1078" s="756">
        <f>I1078*J1078</f>
        <v>616000</v>
      </c>
      <c r="L1078" s="411">
        <f>K1078</f>
        <v>616000</v>
      </c>
      <c r="M1078" s="411">
        <v>0</v>
      </c>
      <c r="N1078" s="756">
        <v>0</v>
      </c>
      <c r="O1078" s="756">
        <f>K1078</f>
        <v>616000</v>
      </c>
      <c r="P1078" s="756">
        <f>O1078/D1078</f>
        <v>213.88888888888889</v>
      </c>
      <c r="Q1078" s="1010" t="s">
        <v>1649</v>
      </c>
    </row>
    <row r="1079" spans="1:19" s="373" customFormat="1">
      <c r="A1079" s="885"/>
      <c r="B1079" s="761"/>
      <c r="C1079" s="761"/>
      <c r="D1079" s="761"/>
      <c r="E1079" s="761"/>
      <c r="F1079" s="762"/>
      <c r="G1079" s="384"/>
      <c r="H1079" s="776"/>
      <c r="I1079" s="776"/>
      <c r="J1079" s="776"/>
      <c r="K1079" s="776"/>
      <c r="L1079" s="334"/>
      <c r="M1079" s="334"/>
      <c r="N1079" s="326"/>
      <c r="O1079" s="776"/>
      <c r="P1079" s="776"/>
      <c r="Q1079" s="983"/>
    </row>
    <row r="1080" spans="1:19" s="373" customFormat="1">
      <c r="A1080" s="1535" t="s">
        <v>484</v>
      </c>
      <c r="B1080" s="1536"/>
      <c r="C1080" s="1536"/>
      <c r="D1080" s="1536"/>
      <c r="E1080" s="1536"/>
      <c r="F1080" s="1536"/>
      <c r="G1080" s="1537"/>
      <c r="H1080" s="364"/>
      <c r="I1080" s="364"/>
      <c r="J1080" s="364"/>
      <c r="K1080" s="364">
        <f>SUM(K1078)</f>
        <v>616000</v>
      </c>
      <c r="L1080" s="365">
        <f>SUM(L1078:L1078)</f>
        <v>616000</v>
      </c>
      <c r="M1080" s="365">
        <f>M1078</f>
        <v>0</v>
      </c>
      <c r="N1080" s="364">
        <v>0</v>
      </c>
      <c r="O1080" s="776"/>
      <c r="P1080" s="776"/>
      <c r="Q1080" s="974"/>
    </row>
    <row r="1081" spans="1:19" s="373" customFormat="1">
      <c r="A1081" s="885"/>
      <c r="B1081" s="782"/>
      <c r="C1081" s="782"/>
      <c r="D1081" s="782"/>
      <c r="E1081" s="782"/>
      <c r="F1081" s="762"/>
      <c r="G1081" s="328"/>
      <c r="H1081" s="776"/>
      <c r="I1081" s="776"/>
      <c r="J1081" s="776"/>
      <c r="K1081" s="776"/>
      <c r="L1081" s="334"/>
      <c r="M1081" s="334"/>
      <c r="N1081" s="776"/>
      <c r="O1081" s="776"/>
      <c r="P1081" s="776"/>
      <c r="Q1081" s="584"/>
    </row>
    <row r="1082" spans="1:19" s="373" customFormat="1" ht="15" customHeight="1" thickBot="1">
      <c r="A1082" s="1474" t="s">
        <v>485</v>
      </c>
      <c r="B1082" s="1475"/>
      <c r="C1082" s="1475"/>
      <c r="D1082" s="1475"/>
      <c r="E1082" s="1475"/>
      <c r="F1082" s="1475"/>
      <c r="G1082" s="1476"/>
      <c r="H1082" s="581"/>
      <c r="I1082" s="581"/>
      <c r="J1082" s="581"/>
      <c r="K1082" s="582">
        <f>K1080+K1074</f>
        <v>936000</v>
      </c>
      <c r="L1082" s="583">
        <f>L1080+L1074</f>
        <v>936000</v>
      </c>
      <c r="M1082" s="583">
        <f>M1080+M1074</f>
        <v>0</v>
      </c>
      <c r="N1082" s="582">
        <f>N1080+N1074</f>
        <v>0</v>
      </c>
      <c r="O1082" s="581"/>
      <c r="P1082" s="581"/>
      <c r="Q1082" s="886"/>
    </row>
    <row r="1083" spans="1:19" ht="15.75" thickBot="1">
      <c r="A1083" s="586"/>
      <c r="B1083" s="871"/>
      <c r="C1083" s="871"/>
      <c r="D1083" s="871"/>
      <c r="E1083" s="871"/>
      <c r="F1083" s="595"/>
      <c r="G1083" s="595"/>
      <c r="H1083" s="716"/>
      <c r="I1083" s="716"/>
      <c r="J1083" s="716"/>
      <c r="K1083" s="626"/>
      <c r="L1083" s="592"/>
      <c r="M1083" s="592"/>
      <c r="N1083" s="626"/>
      <c r="O1083" s="771"/>
      <c r="P1083" s="771"/>
      <c r="Q1083" s="586"/>
    </row>
    <row r="1084" spans="1:19" ht="15.75" thickBot="1">
      <c r="A1084" s="859"/>
      <c r="B1084" s="639"/>
      <c r="C1084" s="639"/>
      <c r="D1084" s="639"/>
      <c r="E1084" s="639"/>
      <c r="F1084" s="846"/>
      <c r="G1084" s="577" t="s">
        <v>1917</v>
      </c>
      <c r="H1084" s="872"/>
      <c r="I1084" s="873"/>
      <c r="J1084" s="641"/>
      <c r="K1084" s="639"/>
      <c r="L1084" s="640"/>
      <c r="M1084" s="640"/>
      <c r="N1084" s="639"/>
      <c r="O1084" s="841"/>
      <c r="P1084" s="841"/>
      <c r="Q1084" s="642"/>
    </row>
    <row r="1085" spans="1:19" ht="15.75" thickBot="1">
      <c r="A1085" s="833"/>
      <c r="B1085" s="355"/>
      <c r="C1085" s="355"/>
      <c r="D1085" s="355"/>
      <c r="E1085" s="355"/>
      <c r="F1085" s="356"/>
      <c r="G1085" s="576"/>
      <c r="H1085" s="358"/>
      <c r="I1085" s="1013"/>
      <c r="J1085" s="358"/>
      <c r="K1085" s="358"/>
      <c r="L1085" s="359"/>
      <c r="M1085" s="359"/>
      <c r="N1085" s="358"/>
      <c r="O1085" s="770"/>
      <c r="P1085" s="770"/>
      <c r="Q1085" s="857"/>
    </row>
    <row r="1086" spans="1:19" ht="60" customHeight="1">
      <c r="A1086" s="1562" t="s">
        <v>1452</v>
      </c>
      <c r="B1086" s="1538" t="s">
        <v>676</v>
      </c>
      <c r="C1086" s="1564" t="s">
        <v>610</v>
      </c>
      <c r="D1086" s="1538" t="s">
        <v>611</v>
      </c>
      <c r="E1086" s="1538" t="s">
        <v>1453</v>
      </c>
      <c r="F1086" s="1472" t="s">
        <v>159</v>
      </c>
      <c r="G1086" s="1509" t="s">
        <v>110</v>
      </c>
      <c r="H1086" s="1477" t="s">
        <v>316</v>
      </c>
      <c r="I1086" s="1472" t="s">
        <v>315</v>
      </c>
      <c r="J1086" s="1472" t="s">
        <v>317</v>
      </c>
      <c r="K1086" s="1472" t="s">
        <v>318</v>
      </c>
      <c r="L1086" s="569" t="s">
        <v>1443</v>
      </c>
      <c r="M1086" s="569" t="s">
        <v>1444</v>
      </c>
      <c r="N1086" s="752" t="s">
        <v>1445</v>
      </c>
      <c r="O1086" s="1477" t="s">
        <v>1673</v>
      </c>
      <c r="P1086" s="1477" t="s">
        <v>1307</v>
      </c>
      <c r="Q1086" s="1495" t="s">
        <v>1454</v>
      </c>
    </row>
    <row r="1087" spans="1:19" ht="15.75" thickBot="1">
      <c r="A1087" s="1563"/>
      <c r="B1087" s="1539"/>
      <c r="C1087" s="1565"/>
      <c r="D1087" s="1539"/>
      <c r="E1087" s="1539"/>
      <c r="F1087" s="1473"/>
      <c r="G1087" s="1510"/>
      <c r="H1087" s="1478"/>
      <c r="I1087" s="1473"/>
      <c r="J1087" s="1473"/>
      <c r="K1087" s="1473"/>
      <c r="L1087" s="570" t="s">
        <v>805</v>
      </c>
      <c r="M1087" s="570" t="s">
        <v>805</v>
      </c>
      <c r="N1087" s="753" t="s">
        <v>1149</v>
      </c>
      <c r="O1087" s="1478"/>
      <c r="P1087" s="1478"/>
      <c r="Q1087" s="1496"/>
    </row>
    <row r="1088" spans="1:19" ht="30">
      <c r="A1088" s="1653" t="s">
        <v>693</v>
      </c>
      <c r="B1088" s="1715" t="s">
        <v>653</v>
      </c>
      <c r="C1088" s="759" t="s">
        <v>693</v>
      </c>
      <c r="D1088" s="769">
        <v>1519</v>
      </c>
      <c r="E1088" s="758" t="s">
        <v>1451</v>
      </c>
      <c r="F1088" s="757" t="s">
        <v>322</v>
      </c>
      <c r="G1088" s="423" t="s">
        <v>382</v>
      </c>
      <c r="H1088" s="414" t="s">
        <v>160</v>
      </c>
      <c r="I1088" s="756">
        <v>2700</v>
      </c>
      <c r="J1088" s="756">
        <f>J602</f>
        <v>64</v>
      </c>
      <c r="K1088" s="756">
        <f t="shared" ref="K1088:K1094" si="91">I1088*J1088</f>
        <v>172800</v>
      </c>
      <c r="L1088" s="411">
        <f t="shared" ref="L1088:L1093" si="92">K1088</f>
        <v>172800</v>
      </c>
      <c r="M1088" s="411">
        <v>0</v>
      </c>
      <c r="N1088" s="424">
        <v>0</v>
      </c>
      <c r="O1088" s="772">
        <f>L1088</f>
        <v>172800</v>
      </c>
      <c r="P1088" s="772">
        <f>O1088/D1088</f>
        <v>113.75905200789994</v>
      </c>
      <c r="Q1088" s="1572" t="s">
        <v>1650</v>
      </c>
    </row>
    <row r="1089" spans="1:19" s="382" customFormat="1" ht="30">
      <c r="A1089" s="1653"/>
      <c r="B1089" s="1587"/>
      <c r="C1089" s="761" t="s">
        <v>694</v>
      </c>
      <c r="D1089" s="763">
        <v>626</v>
      </c>
      <c r="E1089" s="760" t="s">
        <v>1451</v>
      </c>
      <c r="F1089" s="762" t="s">
        <v>322</v>
      </c>
      <c r="G1089" s="362" t="s">
        <v>383</v>
      </c>
      <c r="H1089" s="807" t="s">
        <v>160</v>
      </c>
      <c r="I1089" s="776">
        <v>1600</v>
      </c>
      <c r="J1089" s="776">
        <f>J1088</f>
        <v>64</v>
      </c>
      <c r="K1089" s="776">
        <f t="shared" si="91"/>
        <v>102400</v>
      </c>
      <c r="L1089" s="334">
        <f t="shared" si="92"/>
        <v>102400</v>
      </c>
      <c r="M1089" s="334">
        <v>0</v>
      </c>
      <c r="N1089" s="377">
        <v>0</v>
      </c>
      <c r="O1089" s="777">
        <f>L1089</f>
        <v>102400</v>
      </c>
      <c r="P1089" s="777">
        <f>O1089/D1089</f>
        <v>163.57827476038338</v>
      </c>
      <c r="Q1089" s="1636"/>
    </row>
    <row r="1090" spans="1:19" s="382" customFormat="1" ht="30">
      <c r="A1090" s="1653"/>
      <c r="B1090" s="1587"/>
      <c r="C1090" s="761" t="s">
        <v>695</v>
      </c>
      <c r="D1090" s="763">
        <v>1134</v>
      </c>
      <c r="E1090" s="760" t="s">
        <v>1451</v>
      </c>
      <c r="F1090" s="762" t="s">
        <v>322</v>
      </c>
      <c r="G1090" s="362" t="s">
        <v>384</v>
      </c>
      <c r="H1090" s="807" t="s">
        <v>160</v>
      </c>
      <c r="I1090" s="776">
        <v>7300</v>
      </c>
      <c r="J1090" s="776">
        <f>J1089</f>
        <v>64</v>
      </c>
      <c r="K1090" s="776">
        <f t="shared" si="91"/>
        <v>467200</v>
      </c>
      <c r="L1090" s="334">
        <f t="shared" si="92"/>
        <v>467200</v>
      </c>
      <c r="M1090" s="334">
        <v>0</v>
      </c>
      <c r="N1090" s="377">
        <v>0</v>
      </c>
      <c r="O1090" s="777">
        <f>L1090</f>
        <v>467200</v>
      </c>
      <c r="P1090" s="777">
        <f>O1090/D1090</f>
        <v>411.99294532627869</v>
      </c>
      <c r="Q1090" s="1637"/>
    </row>
    <row r="1091" spans="1:19" s="382" customFormat="1" ht="30">
      <c r="A1091" s="1653"/>
      <c r="B1091" s="1587"/>
      <c r="C1091" s="1488" t="s">
        <v>696</v>
      </c>
      <c r="D1091" s="1577">
        <v>775</v>
      </c>
      <c r="E1091" s="1606" t="s">
        <v>1451</v>
      </c>
      <c r="F1091" s="762" t="s">
        <v>320</v>
      </c>
      <c r="G1091" s="329" t="s">
        <v>931</v>
      </c>
      <c r="H1091" s="807" t="s">
        <v>160</v>
      </c>
      <c r="I1091" s="776">
        <v>4500</v>
      </c>
      <c r="J1091" s="776">
        <f>J1040</f>
        <v>68</v>
      </c>
      <c r="K1091" s="776">
        <f t="shared" si="91"/>
        <v>306000</v>
      </c>
      <c r="L1091" s="334">
        <f t="shared" si="92"/>
        <v>306000</v>
      </c>
      <c r="M1091" s="334">
        <v>0</v>
      </c>
      <c r="N1091" s="376">
        <v>0</v>
      </c>
      <c r="O1091" s="1483">
        <f>SUM(L1091:L1094)</f>
        <v>730500</v>
      </c>
      <c r="P1091" s="1483">
        <f>O1091/D1091</f>
        <v>942.58064516129036</v>
      </c>
      <c r="Q1091" s="1581" t="s">
        <v>1651</v>
      </c>
    </row>
    <row r="1092" spans="1:19" s="382" customFormat="1" ht="59.25" customHeight="1">
      <c r="A1092" s="1653"/>
      <c r="B1092" s="1587"/>
      <c r="C1092" s="1488"/>
      <c r="D1092" s="1577"/>
      <c r="E1092" s="1627"/>
      <c r="F1092" s="762" t="s">
        <v>321</v>
      </c>
      <c r="G1092" s="329" t="s">
        <v>932</v>
      </c>
      <c r="H1092" s="807" t="s">
        <v>280</v>
      </c>
      <c r="I1092" s="776">
        <v>1</v>
      </c>
      <c r="J1092" s="776">
        <f>'preturi unitare'!H5</f>
        <v>70000</v>
      </c>
      <c r="K1092" s="776">
        <f t="shared" si="91"/>
        <v>70000</v>
      </c>
      <c r="L1092" s="334">
        <f>K1092</f>
        <v>70000</v>
      </c>
      <c r="M1092" s="334">
        <v>0</v>
      </c>
      <c r="N1092" s="376">
        <v>0</v>
      </c>
      <c r="O1092" s="1483"/>
      <c r="P1092" s="1483"/>
      <c r="Q1092" s="1636"/>
    </row>
    <row r="1093" spans="1:19" s="382" customFormat="1" ht="30">
      <c r="A1093" s="1653"/>
      <c r="B1093" s="1587"/>
      <c r="C1093" s="1488"/>
      <c r="D1093" s="1577"/>
      <c r="E1093" s="1627"/>
      <c r="F1093" s="762" t="s">
        <v>322</v>
      </c>
      <c r="G1093" s="362" t="s">
        <v>385</v>
      </c>
      <c r="H1093" s="807" t="s">
        <v>160</v>
      </c>
      <c r="I1093" s="776">
        <v>4500</v>
      </c>
      <c r="J1093" s="776">
        <f>J1090</f>
        <v>64</v>
      </c>
      <c r="K1093" s="776">
        <f t="shared" si="91"/>
        <v>288000</v>
      </c>
      <c r="L1093" s="334">
        <f t="shared" si="92"/>
        <v>288000</v>
      </c>
      <c r="M1093" s="334">
        <v>0</v>
      </c>
      <c r="N1093" s="385">
        <v>0</v>
      </c>
      <c r="O1093" s="1483"/>
      <c r="P1093" s="1483"/>
      <c r="Q1093" s="1636"/>
    </row>
    <row r="1094" spans="1:19" s="382" customFormat="1" ht="50.25" customHeight="1">
      <c r="A1094" s="1654"/>
      <c r="B1094" s="1487"/>
      <c r="C1094" s="1488"/>
      <c r="D1094" s="1577"/>
      <c r="E1094" s="1598"/>
      <c r="F1094" s="762" t="s">
        <v>279</v>
      </c>
      <c r="G1094" s="329" t="s">
        <v>933</v>
      </c>
      <c r="H1094" s="653" t="s">
        <v>160</v>
      </c>
      <c r="I1094" s="776">
        <v>1</v>
      </c>
      <c r="J1094" s="776">
        <f>'preturi unitare'!E26+'preturi unitare'!E6</f>
        <v>66500</v>
      </c>
      <c r="K1094" s="776">
        <f t="shared" si="91"/>
        <v>66500</v>
      </c>
      <c r="L1094" s="334">
        <f>K1094</f>
        <v>66500</v>
      </c>
      <c r="M1094" s="334">
        <v>0</v>
      </c>
      <c r="N1094" s="377">
        <v>0</v>
      </c>
      <c r="O1094" s="1483"/>
      <c r="P1094" s="1483"/>
      <c r="Q1094" s="1637"/>
    </row>
    <row r="1095" spans="1:19">
      <c r="A1095" s="820"/>
      <c r="B1095" s="326"/>
      <c r="C1095" s="326"/>
      <c r="D1095" s="326"/>
      <c r="E1095" s="326"/>
      <c r="F1095" s="326"/>
      <c r="G1095" s="326"/>
      <c r="H1095" s="326"/>
      <c r="I1095" s="776">
        <f>18742+I1088+I1089+I1090+I1093</f>
        <v>34842</v>
      </c>
      <c r="J1095" s="776"/>
      <c r="K1095" s="776"/>
      <c r="L1095" s="334"/>
      <c r="M1095" s="334"/>
      <c r="N1095" s="377"/>
      <c r="O1095" s="776"/>
      <c r="P1095" s="776"/>
      <c r="Q1095" s="587"/>
    </row>
    <row r="1096" spans="1:19">
      <c r="A1096" s="1469" t="s">
        <v>573</v>
      </c>
      <c r="B1096" s="1470"/>
      <c r="C1096" s="1470"/>
      <c r="D1096" s="1470"/>
      <c r="E1096" s="1470"/>
      <c r="F1096" s="1470"/>
      <c r="G1096" s="1471"/>
      <c r="H1096" s="793"/>
      <c r="I1096" s="776"/>
      <c r="J1096" s="776"/>
      <c r="K1096" s="364">
        <f>SUM(K1088:K1094)</f>
        <v>1472900</v>
      </c>
      <c r="L1096" s="365">
        <f>SUM(L1088:L1094)</f>
        <v>1472900</v>
      </c>
      <c r="M1096" s="365">
        <f>SUM(M1088:M1094)</f>
        <v>0</v>
      </c>
      <c r="N1096" s="812">
        <f>SUM(N1088:N1094)</f>
        <v>0</v>
      </c>
      <c r="O1096" s="776"/>
      <c r="P1096" s="776"/>
      <c r="Q1096" s="587"/>
      <c r="S1096" s="629"/>
    </row>
    <row r="1097" spans="1:19" ht="15.75" thickBot="1">
      <c r="A1097" s="833"/>
      <c r="B1097" s="397"/>
      <c r="C1097" s="397"/>
      <c r="D1097" s="397"/>
      <c r="E1097" s="397"/>
      <c r="F1097" s="766"/>
      <c r="G1097" s="417"/>
      <c r="H1097" s="732"/>
      <c r="I1097" s="732"/>
      <c r="J1097" s="732"/>
      <c r="K1097" s="732"/>
      <c r="L1097" s="426"/>
      <c r="M1097" s="426"/>
      <c r="N1097" s="418"/>
      <c r="O1097" s="770"/>
      <c r="P1097" s="770"/>
      <c r="Q1097" s="857"/>
    </row>
    <row r="1098" spans="1:19" s="382" customFormat="1" ht="60" customHeight="1">
      <c r="A1098" s="1542" t="s">
        <v>632</v>
      </c>
      <c r="B1098" s="1544" t="s">
        <v>617</v>
      </c>
      <c r="C1098" s="1538" t="s">
        <v>610</v>
      </c>
      <c r="D1098" s="1538" t="s">
        <v>611</v>
      </c>
      <c r="E1098" s="1538" t="s">
        <v>1453</v>
      </c>
      <c r="F1098" s="1472" t="s">
        <v>159</v>
      </c>
      <c r="G1098" s="1509" t="s">
        <v>110</v>
      </c>
      <c r="H1098" s="1477" t="s">
        <v>316</v>
      </c>
      <c r="I1098" s="1472" t="s">
        <v>315</v>
      </c>
      <c r="J1098" s="1472" t="s">
        <v>317</v>
      </c>
      <c r="K1098" s="1472" t="s">
        <v>318</v>
      </c>
      <c r="L1098" s="569" t="s">
        <v>1443</v>
      </c>
      <c r="M1098" s="569" t="s">
        <v>1444</v>
      </c>
      <c r="N1098" s="752" t="s">
        <v>1445</v>
      </c>
      <c r="O1098" s="1477" t="s">
        <v>1673</v>
      </c>
      <c r="P1098" s="1477" t="s">
        <v>1307</v>
      </c>
      <c r="Q1098" s="1495" t="s">
        <v>1454</v>
      </c>
    </row>
    <row r="1099" spans="1:19" s="382" customFormat="1" ht="15.75" thickBot="1">
      <c r="A1099" s="1543"/>
      <c r="B1099" s="1545"/>
      <c r="C1099" s="1539"/>
      <c r="D1099" s="1539"/>
      <c r="E1099" s="1539"/>
      <c r="F1099" s="1473"/>
      <c r="G1099" s="1510"/>
      <c r="H1099" s="1478"/>
      <c r="I1099" s="1473"/>
      <c r="J1099" s="1473"/>
      <c r="K1099" s="1473"/>
      <c r="L1099" s="570" t="s">
        <v>805</v>
      </c>
      <c r="M1099" s="570" t="s">
        <v>805</v>
      </c>
      <c r="N1099" s="753" t="s">
        <v>1149</v>
      </c>
      <c r="O1099" s="1478"/>
      <c r="P1099" s="1478"/>
      <c r="Q1099" s="1496"/>
    </row>
    <row r="1100" spans="1:19" ht="45">
      <c r="A1100" s="1485" t="s">
        <v>693</v>
      </c>
      <c r="B1100" s="1487" t="s">
        <v>693</v>
      </c>
      <c r="C1100" s="1599" t="s">
        <v>1691</v>
      </c>
      <c r="D1100" s="1607">
        <f>D1088+D1089+D1090</f>
        <v>3279</v>
      </c>
      <c r="E1100" s="1628">
        <f>D1100*1.1</f>
        <v>3606.9</v>
      </c>
      <c r="F1100" s="757" t="s">
        <v>323</v>
      </c>
      <c r="G1100" s="423" t="s">
        <v>1722</v>
      </c>
      <c r="H1100" s="414" t="s">
        <v>280</v>
      </c>
      <c r="I1100" s="756">
        <v>1</v>
      </c>
      <c r="J1100" s="756">
        <v>350000</v>
      </c>
      <c r="K1100" s="756">
        <f>J1100</f>
        <v>350000</v>
      </c>
      <c r="L1100" s="411">
        <f>K1100</f>
        <v>350000</v>
      </c>
      <c r="M1100" s="411">
        <v>0</v>
      </c>
      <c r="N1100" s="429">
        <v>0</v>
      </c>
      <c r="O1100" s="1465">
        <f>SUM(L1100:L1105)</f>
        <v>3107400</v>
      </c>
      <c r="P1100" s="1465">
        <f>O1100/D1100</f>
        <v>947.66697163769447</v>
      </c>
      <c r="Q1100" s="1572" t="s">
        <v>1723</v>
      </c>
    </row>
    <row r="1101" spans="1:19" ht="30">
      <c r="A1101" s="1486"/>
      <c r="B1101" s="1488"/>
      <c r="C1101" s="1567"/>
      <c r="D1101" s="1602"/>
      <c r="E1101" s="1628"/>
      <c r="F1101" s="1600" t="s">
        <v>324</v>
      </c>
      <c r="G1101" s="362" t="s">
        <v>934</v>
      </c>
      <c r="H1101" s="807" t="s">
        <v>280</v>
      </c>
      <c r="I1101" s="776">
        <v>2</v>
      </c>
      <c r="J1101" s="776">
        <f>'preturi unitare'!B32</f>
        <v>67000</v>
      </c>
      <c r="K1101" s="776">
        <f t="shared" ref="K1101:K1107" si="93">I1101*J1101</f>
        <v>134000</v>
      </c>
      <c r="L1101" s="334">
        <f t="shared" ref="L1101:L1105" si="94">K1101</f>
        <v>134000</v>
      </c>
      <c r="M1101" s="334">
        <v>0</v>
      </c>
      <c r="N1101" s="388">
        <v>0</v>
      </c>
      <c r="O1101" s="1482"/>
      <c r="P1101" s="1482"/>
      <c r="Q1101" s="1636"/>
    </row>
    <row r="1102" spans="1:19" s="366" customFormat="1" ht="30">
      <c r="A1102" s="1486"/>
      <c r="B1102" s="1488"/>
      <c r="C1102" s="1567"/>
      <c r="D1102" s="1602"/>
      <c r="E1102" s="1628"/>
      <c r="F1102" s="1600"/>
      <c r="G1102" s="362" t="s">
        <v>935</v>
      </c>
      <c r="H1102" s="807" t="s">
        <v>280</v>
      </c>
      <c r="I1102" s="776">
        <v>1</v>
      </c>
      <c r="J1102" s="776">
        <f>J1101</f>
        <v>67000</v>
      </c>
      <c r="K1102" s="776">
        <f t="shared" si="93"/>
        <v>67000</v>
      </c>
      <c r="L1102" s="334">
        <f t="shared" si="94"/>
        <v>67000</v>
      </c>
      <c r="M1102" s="334">
        <v>0</v>
      </c>
      <c r="N1102" s="388">
        <v>0</v>
      </c>
      <c r="O1102" s="1482"/>
      <c r="P1102" s="1482"/>
      <c r="Q1102" s="1636"/>
    </row>
    <row r="1103" spans="1:19" ht="30">
      <c r="A1103" s="1486"/>
      <c r="B1103" s="1488"/>
      <c r="C1103" s="1567"/>
      <c r="D1103" s="1602"/>
      <c r="E1103" s="1628"/>
      <c r="F1103" s="1600" t="s">
        <v>325</v>
      </c>
      <c r="G1103" s="362" t="s">
        <v>936</v>
      </c>
      <c r="H1103" s="807" t="s">
        <v>160</v>
      </c>
      <c r="I1103" s="776">
        <v>5900</v>
      </c>
      <c r="J1103" s="776">
        <f>'preturi unitare'!H40</f>
        <v>154</v>
      </c>
      <c r="K1103" s="776">
        <f t="shared" si="93"/>
        <v>908600</v>
      </c>
      <c r="L1103" s="334">
        <f t="shared" si="94"/>
        <v>908600</v>
      </c>
      <c r="M1103" s="334">
        <v>0</v>
      </c>
      <c r="N1103" s="388">
        <v>0</v>
      </c>
      <c r="O1103" s="1482"/>
      <c r="P1103" s="1482"/>
      <c r="Q1103" s="1636"/>
    </row>
    <row r="1104" spans="1:19" ht="30">
      <c r="A1104" s="1486"/>
      <c r="B1104" s="1488"/>
      <c r="C1104" s="1567"/>
      <c r="D1104" s="1602"/>
      <c r="E1104" s="1628"/>
      <c r="F1104" s="1600"/>
      <c r="G1104" s="362" t="s">
        <v>937</v>
      </c>
      <c r="H1104" s="807" t="s">
        <v>160</v>
      </c>
      <c r="I1104" s="776">
        <v>3400</v>
      </c>
      <c r="J1104" s="776">
        <f>J1103</f>
        <v>154</v>
      </c>
      <c r="K1104" s="776">
        <f t="shared" si="93"/>
        <v>523600</v>
      </c>
      <c r="L1104" s="334">
        <f t="shared" si="94"/>
        <v>523600</v>
      </c>
      <c r="M1104" s="334">
        <v>0</v>
      </c>
      <c r="N1104" s="388">
        <v>0</v>
      </c>
      <c r="O1104" s="1482"/>
      <c r="P1104" s="1482"/>
      <c r="Q1104" s="1636"/>
    </row>
    <row r="1105" spans="1:17" ht="30">
      <c r="A1105" s="1486"/>
      <c r="B1105" s="1488"/>
      <c r="C1105" s="1567"/>
      <c r="D1105" s="1602"/>
      <c r="E1105" s="1607"/>
      <c r="F1105" s="1600"/>
      <c r="G1105" s="362" t="s">
        <v>938</v>
      </c>
      <c r="H1105" s="807" t="s">
        <v>160</v>
      </c>
      <c r="I1105" s="776">
        <v>7300</v>
      </c>
      <c r="J1105" s="776">
        <f>J1104</f>
        <v>154</v>
      </c>
      <c r="K1105" s="776">
        <f t="shared" si="93"/>
        <v>1124200</v>
      </c>
      <c r="L1105" s="334">
        <f t="shared" si="94"/>
        <v>1124200</v>
      </c>
      <c r="M1105" s="334">
        <v>0</v>
      </c>
      <c r="N1105" s="388">
        <v>0</v>
      </c>
      <c r="O1105" s="1482"/>
      <c r="P1105" s="1482"/>
      <c r="Q1105" s="1637"/>
    </row>
    <row r="1106" spans="1:17" ht="30">
      <c r="A1106" s="1486"/>
      <c r="B1106" s="1488" t="s">
        <v>1451</v>
      </c>
      <c r="C1106" s="1488" t="s">
        <v>696</v>
      </c>
      <c r="D1106" s="1602">
        <f>D1091</f>
        <v>775</v>
      </c>
      <c r="E1106" s="1606">
        <f>D1106</f>
        <v>775</v>
      </c>
      <c r="F1106" s="762" t="s">
        <v>323</v>
      </c>
      <c r="G1106" s="362" t="s">
        <v>939</v>
      </c>
      <c r="H1106" s="807" t="s">
        <v>280</v>
      </c>
      <c r="I1106" s="776">
        <v>1</v>
      </c>
      <c r="J1106" s="776">
        <f>'preturi unitare'!O27</f>
        <v>106500</v>
      </c>
      <c r="K1106" s="776">
        <f t="shared" si="93"/>
        <v>106500</v>
      </c>
      <c r="L1106" s="334">
        <v>0</v>
      </c>
      <c r="M1106" s="334">
        <f>K1106</f>
        <v>106500</v>
      </c>
      <c r="N1106" s="776">
        <v>0</v>
      </c>
      <c r="O1106" s="1482">
        <f>SUM(M1106:M1107)</f>
        <v>799500</v>
      </c>
      <c r="P1106" s="1482">
        <f>O1106/D1106</f>
        <v>1031.6129032258063</v>
      </c>
      <c r="Q1106" s="1581" t="s">
        <v>1529</v>
      </c>
    </row>
    <row r="1107" spans="1:17" ht="30">
      <c r="A1107" s="1486"/>
      <c r="B1107" s="1488"/>
      <c r="C1107" s="1488"/>
      <c r="D1107" s="1602"/>
      <c r="E1107" s="1607"/>
      <c r="F1107" s="762" t="s">
        <v>325</v>
      </c>
      <c r="G1107" s="362" t="s">
        <v>940</v>
      </c>
      <c r="H1107" s="807" t="s">
        <v>160</v>
      </c>
      <c r="I1107" s="776">
        <v>4500</v>
      </c>
      <c r="J1107" s="776">
        <f>J1105</f>
        <v>154</v>
      </c>
      <c r="K1107" s="776">
        <f t="shared" si="93"/>
        <v>693000</v>
      </c>
      <c r="L1107" s="334">
        <v>0</v>
      </c>
      <c r="M1107" s="334">
        <f>K1107</f>
        <v>693000</v>
      </c>
      <c r="N1107" s="776">
        <v>0</v>
      </c>
      <c r="O1107" s="1482"/>
      <c r="P1107" s="1482"/>
      <c r="Q1107" s="1637"/>
    </row>
    <row r="1108" spans="1:17" s="378" customFormat="1">
      <c r="A1108" s="820"/>
      <c r="B1108" s="761"/>
      <c r="C1108" s="761"/>
      <c r="D1108" s="761"/>
      <c r="E1108" s="761"/>
      <c r="F1108" s="762"/>
      <c r="G1108" s="384"/>
      <c r="H1108" s="776"/>
      <c r="I1108" s="776"/>
      <c r="J1108" s="776"/>
      <c r="K1108" s="776"/>
      <c r="L1108" s="334"/>
      <c r="M1108" s="334"/>
      <c r="N1108" s="377"/>
      <c r="O1108" s="777"/>
      <c r="P1108" s="777"/>
      <c r="Q1108" s="587"/>
    </row>
    <row r="1109" spans="1:17">
      <c r="A1109" s="1535" t="s">
        <v>380</v>
      </c>
      <c r="B1109" s="1536"/>
      <c r="C1109" s="1536"/>
      <c r="D1109" s="1536"/>
      <c r="E1109" s="1536"/>
      <c r="F1109" s="1536"/>
      <c r="G1109" s="1537"/>
      <c r="H1109" s="364"/>
      <c r="I1109" s="364"/>
      <c r="J1109" s="364"/>
      <c r="K1109" s="364">
        <f>SUM(K1100:K1107)</f>
        <v>3906900</v>
      </c>
      <c r="L1109" s="365">
        <f>SUM(L1100:L1107)</f>
        <v>3107400</v>
      </c>
      <c r="M1109" s="365">
        <f>SUM(M1100:M1107)</f>
        <v>799500</v>
      </c>
      <c r="N1109" s="364">
        <f>SUM(N1100:N1107)</f>
        <v>0</v>
      </c>
      <c r="O1109" s="776"/>
      <c r="P1109" s="776"/>
      <c r="Q1109" s="587"/>
    </row>
    <row r="1110" spans="1:17">
      <c r="A1110" s="820"/>
      <c r="B1110" s="782"/>
      <c r="C1110" s="782"/>
      <c r="D1110" s="782"/>
      <c r="E1110" s="782"/>
      <c r="F1110" s="762"/>
      <c r="G1110" s="328"/>
      <c r="H1110" s="776"/>
      <c r="I1110" s="776"/>
      <c r="J1110" s="776"/>
      <c r="K1110" s="776"/>
      <c r="L1110" s="334"/>
      <c r="M1110" s="334"/>
      <c r="N1110" s="776"/>
      <c r="O1110" s="776"/>
      <c r="P1110" s="776"/>
      <c r="Q1110" s="587"/>
    </row>
    <row r="1111" spans="1:17" ht="15.75" customHeight="1" thickBot="1">
      <c r="A1111" s="1474" t="s">
        <v>381</v>
      </c>
      <c r="B1111" s="1475"/>
      <c r="C1111" s="1475"/>
      <c r="D1111" s="1475"/>
      <c r="E1111" s="1475"/>
      <c r="F1111" s="1475"/>
      <c r="G1111" s="1476"/>
      <c r="H1111" s="581"/>
      <c r="I1111" s="581"/>
      <c r="J1111" s="581"/>
      <c r="K1111" s="582">
        <f>K1096+K1109</f>
        <v>5379800</v>
      </c>
      <c r="L1111" s="583">
        <f>L1096+L1109</f>
        <v>4580300</v>
      </c>
      <c r="M1111" s="583">
        <f>M1096+M1109</f>
        <v>799500</v>
      </c>
      <c r="N1111" s="582">
        <f>N1096+N1109</f>
        <v>0</v>
      </c>
      <c r="O1111" s="581"/>
      <c r="P1111" s="581"/>
      <c r="Q1111" s="816"/>
    </row>
    <row r="1112" spans="1:17" ht="15.75" thickBot="1">
      <c r="A1112" s="586"/>
      <c r="B1112" s="871"/>
      <c r="C1112" s="871"/>
      <c r="D1112" s="871"/>
      <c r="E1112" s="871"/>
      <c r="F1112" s="595"/>
      <c r="G1112" s="595"/>
      <c r="H1112" s="716"/>
      <c r="I1112" s="716"/>
      <c r="J1112" s="716"/>
      <c r="K1112" s="626"/>
      <c r="L1112" s="592"/>
      <c r="M1112" s="592"/>
      <c r="N1112" s="626"/>
      <c r="O1112" s="771"/>
      <c r="P1112" s="771"/>
      <c r="Q1112" s="586"/>
    </row>
    <row r="1113" spans="1:17" ht="15.75" thickBot="1">
      <c r="A1113" s="859"/>
      <c r="B1113" s="639"/>
      <c r="C1113" s="639"/>
      <c r="D1113" s="639"/>
      <c r="E1113" s="639"/>
      <c r="F1113" s="846"/>
      <c r="G1113" s="577" t="s">
        <v>1918</v>
      </c>
      <c r="H1113" s="872"/>
      <c r="I1113" s="873"/>
      <c r="J1113" s="641"/>
      <c r="K1113" s="639"/>
      <c r="L1113" s="640"/>
      <c r="M1113" s="640"/>
      <c r="N1113" s="639"/>
      <c r="O1113" s="841"/>
      <c r="P1113" s="841"/>
      <c r="Q1113" s="642"/>
    </row>
    <row r="1114" spans="1:17" ht="15.75" thickBot="1">
      <c r="A1114" s="833"/>
      <c r="B1114" s="355"/>
      <c r="C1114" s="355"/>
      <c r="D1114" s="355"/>
      <c r="E1114" s="355"/>
      <c r="F1114" s="356"/>
      <c r="G1114" s="576"/>
      <c r="H1114" s="358"/>
      <c r="I1114" s="358"/>
      <c r="J1114" s="358"/>
      <c r="K1114" s="358"/>
      <c r="L1114" s="359"/>
      <c r="M1114" s="359"/>
      <c r="N1114" s="358"/>
      <c r="O1114" s="770"/>
      <c r="P1114" s="770"/>
      <c r="Q1114" s="857"/>
    </row>
    <row r="1115" spans="1:17" ht="60" customHeight="1">
      <c r="A1115" s="1562" t="s">
        <v>1452</v>
      </c>
      <c r="B1115" s="1538" t="s">
        <v>676</v>
      </c>
      <c r="C1115" s="1564" t="s">
        <v>610</v>
      </c>
      <c r="D1115" s="1538" t="s">
        <v>611</v>
      </c>
      <c r="E1115" s="1538" t="s">
        <v>1453</v>
      </c>
      <c r="F1115" s="1472" t="s">
        <v>159</v>
      </c>
      <c r="G1115" s="1509" t="s">
        <v>110</v>
      </c>
      <c r="H1115" s="1477" t="s">
        <v>316</v>
      </c>
      <c r="I1115" s="1472" t="s">
        <v>315</v>
      </c>
      <c r="J1115" s="1472" t="s">
        <v>317</v>
      </c>
      <c r="K1115" s="1472" t="s">
        <v>318</v>
      </c>
      <c r="L1115" s="569" t="s">
        <v>1443</v>
      </c>
      <c r="M1115" s="569" t="s">
        <v>1444</v>
      </c>
      <c r="N1115" s="752" t="s">
        <v>1445</v>
      </c>
      <c r="O1115" s="1477" t="s">
        <v>1673</v>
      </c>
      <c r="P1115" s="1477" t="s">
        <v>1307</v>
      </c>
      <c r="Q1115" s="1495" t="s">
        <v>1454</v>
      </c>
    </row>
    <row r="1116" spans="1:17" ht="15.75" thickBot="1">
      <c r="A1116" s="1563"/>
      <c r="B1116" s="1539"/>
      <c r="C1116" s="1565"/>
      <c r="D1116" s="1539"/>
      <c r="E1116" s="1539"/>
      <c r="F1116" s="1473"/>
      <c r="G1116" s="1510"/>
      <c r="H1116" s="1478"/>
      <c r="I1116" s="1473"/>
      <c r="J1116" s="1473"/>
      <c r="K1116" s="1473"/>
      <c r="L1116" s="570" t="s">
        <v>805</v>
      </c>
      <c r="M1116" s="570" t="s">
        <v>805</v>
      </c>
      <c r="N1116" s="753" t="s">
        <v>1149</v>
      </c>
      <c r="O1116" s="1478"/>
      <c r="P1116" s="1478"/>
      <c r="Q1116" s="1496"/>
    </row>
    <row r="1117" spans="1:17" ht="30">
      <c r="A1117" s="1635" t="s">
        <v>708</v>
      </c>
      <c r="B1117" s="1599" t="s">
        <v>653</v>
      </c>
      <c r="C1117" s="1001" t="s">
        <v>708</v>
      </c>
      <c r="D1117" s="769">
        <v>977</v>
      </c>
      <c r="E1117" s="758" t="s">
        <v>1451</v>
      </c>
      <c r="F1117" s="757" t="s">
        <v>322</v>
      </c>
      <c r="G1117" s="423" t="s">
        <v>389</v>
      </c>
      <c r="H1117" s="414" t="s">
        <v>160</v>
      </c>
      <c r="I1117" s="756">
        <v>1000</v>
      </c>
      <c r="J1117" s="756">
        <f>94</f>
        <v>94</v>
      </c>
      <c r="K1117" s="756">
        <f>I1117*J1117</f>
        <v>94000</v>
      </c>
      <c r="L1117" s="411">
        <f>K1117</f>
        <v>94000</v>
      </c>
      <c r="M1117" s="411">
        <v>0</v>
      </c>
      <c r="N1117" s="430">
        <v>0</v>
      </c>
      <c r="O1117" s="772">
        <f>L1117</f>
        <v>94000</v>
      </c>
      <c r="P1117" s="772">
        <f>O1117/D1117</f>
        <v>96.21289662231321</v>
      </c>
      <c r="Q1117" s="1572" t="s">
        <v>1652</v>
      </c>
    </row>
    <row r="1118" spans="1:17" s="382" customFormat="1" ht="45">
      <c r="A1118" s="1568"/>
      <c r="B1118" s="1701"/>
      <c r="C1118" s="1488" t="s">
        <v>709</v>
      </c>
      <c r="D1118" s="1577">
        <v>723</v>
      </c>
      <c r="E1118" s="1606" t="s">
        <v>1451</v>
      </c>
      <c r="F1118" s="1012" t="s">
        <v>320</v>
      </c>
      <c r="G1118" s="329" t="s">
        <v>960</v>
      </c>
      <c r="H1118" s="807" t="s">
        <v>160</v>
      </c>
      <c r="I1118" s="776">
        <v>6000</v>
      </c>
      <c r="J1118" s="776">
        <f>'preturi unitare'!H23</f>
        <v>68</v>
      </c>
      <c r="K1118" s="776">
        <f>I1118*J1118</f>
        <v>408000</v>
      </c>
      <c r="L1118" s="334">
        <f>K1118</f>
        <v>408000</v>
      </c>
      <c r="M1118" s="334">
        <v>0</v>
      </c>
      <c r="N1118" s="385">
        <v>0</v>
      </c>
      <c r="O1118" s="1483">
        <f>L1118+L1119</f>
        <v>728000</v>
      </c>
      <c r="P1118" s="1483">
        <f>O1118/D1118</f>
        <v>1006.9156293222683</v>
      </c>
      <c r="Q1118" s="1636"/>
    </row>
    <row r="1119" spans="1:17" s="382" customFormat="1" ht="30">
      <c r="A1119" s="1568"/>
      <c r="B1119" s="1701"/>
      <c r="C1119" s="1488"/>
      <c r="D1119" s="1577"/>
      <c r="E1119" s="1598"/>
      <c r="F1119" s="762" t="s">
        <v>322</v>
      </c>
      <c r="G1119" s="362" t="s">
        <v>390</v>
      </c>
      <c r="H1119" s="807" t="s">
        <v>160</v>
      </c>
      <c r="I1119" s="776">
        <v>5000</v>
      </c>
      <c r="J1119" s="776">
        <f>'preturi unitare'!H22</f>
        <v>64</v>
      </c>
      <c r="K1119" s="776">
        <f>I1119*J1119</f>
        <v>320000</v>
      </c>
      <c r="L1119" s="334">
        <f>K1119</f>
        <v>320000</v>
      </c>
      <c r="M1119" s="334">
        <v>0</v>
      </c>
      <c r="N1119" s="385">
        <v>0</v>
      </c>
      <c r="O1119" s="1483"/>
      <c r="P1119" s="1483"/>
      <c r="Q1119" s="1637"/>
    </row>
    <row r="1120" spans="1:17">
      <c r="A1120" s="820"/>
      <c r="B1120" s="326"/>
      <c r="C1120" s="326"/>
      <c r="D1120" s="326"/>
      <c r="E1120" s="326"/>
      <c r="F1120" s="326"/>
      <c r="G1120" s="326"/>
      <c r="H1120" s="326"/>
      <c r="I1120" s="776"/>
      <c r="J1120" s="776"/>
      <c r="K1120" s="776"/>
      <c r="L1120" s="334"/>
      <c r="M1120" s="334"/>
      <c r="N1120" s="326"/>
      <c r="O1120" s="776"/>
      <c r="P1120" s="776"/>
      <c r="Q1120" s="587"/>
    </row>
    <row r="1121" spans="1:19">
      <c r="A1121" s="1469" t="s">
        <v>575</v>
      </c>
      <c r="B1121" s="1470"/>
      <c r="C1121" s="1470"/>
      <c r="D1121" s="1470"/>
      <c r="E1121" s="1470"/>
      <c r="F1121" s="1470"/>
      <c r="G1121" s="1471"/>
      <c r="H1121" s="793"/>
      <c r="I1121" s="776"/>
      <c r="J1121" s="776"/>
      <c r="K1121" s="364">
        <f>SUM(K1117:K1119)</f>
        <v>822000</v>
      </c>
      <c r="L1121" s="365">
        <f>SUM(L1117:L1119)</f>
        <v>822000</v>
      </c>
      <c r="M1121" s="365">
        <f>SUM(M1117:M1119)</f>
        <v>0</v>
      </c>
      <c r="N1121" s="408">
        <f>SUM(N1117:N1119)</f>
        <v>0</v>
      </c>
      <c r="O1121" s="776"/>
      <c r="P1121" s="776"/>
      <c r="Q1121" s="587"/>
      <c r="S1121" s="629"/>
    </row>
    <row r="1122" spans="1:19" ht="15.75" thickBot="1">
      <c r="A1122" s="833"/>
      <c r="B1122" s="397"/>
      <c r="C1122" s="397"/>
      <c r="D1122" s="397"/>
      <c r="E1122" s="397"/>
      <c r="F1122" s="766"/>
      <c r="G1122" s="417"/>
      <c r="H1122" s="732"/>
      <c r="I1122" s="732"/>
      <c r="J1122" s="732"/>
      <c r="K1122" s="732"/>
      <c r="L1122" s="426"/>
      <c r="M1122" s="426"/>
      <c r="N1122" s="418"/>
      <c r="O1122" s="770"/>
      <c r="P1122" s="770"/>
      <c r="Q1122" s="857"/>
    </row>
    <row r="1123" spans="1:19" s="382" customFormat="1" ht="60" customHeight="1">
      <c r="A1123" s="1542" t="s">
        <v>632</v>
      </c>
      <c r="B1123" s="1544" t="s">
        <v>617</v>
      </c>
      <c r="C1123" s="1538" t="s">
        <v>610</v>
      </c>
      <c r="D1123" s="1538" t="s">
        <v>611</v>
      </c>
      <c r="E1123" s="1538" t="s">
        <v>1453</v>
      </c>
      <c r="F1123" s="1472" t="s">
        <v>159</v>
      </c>
      <c r="G1123" s="1509" t="s">
        <v>110</v>
      </c>
      <c r="H1123" s="1477" t="s">
        <v>316</v>
      </c>
      <c r="I1123" s="1472" t="s">
        <v>315</v>
      </c>
      <c r="J1123" s="1472" t="s">
        <v>317</v>
      </c>
      <c r="K1123" s="1472" t="s">
        <v>318</v>
      </c>
      <c r="L1123" s="569" t="s">
        <v>1443</v>
      </c>
      <c r="M1123" s="569" t="s">
        <v>1444</v>
      </c>
      <c r="N1123" s="752" t="s">
        <v>1445</v>
      </c>
      <c r="O1123" s="1477" t="s">
        <v>1673</v>
      </c>
      <c r="P1123" s="1477" t="s">
        <v>1307</v>
      </c>
      <c r="Q1123" s="1495" t="s">
        <v>1454</v>
      </c>
    </row>
    <row r="1124" spans="1:19" s="382" customFormat="1" ht="15.75" thickBot="1">
      <c r="A1124" s="1543"/>
      <c r="B1124" s="1545"/>
      <c r="C1124" s="1539"/>
      <c r="D1124" s="1539"/>
      <c r="E1124" s="1539"/>
      <c r="F1124" s="1473"/>
      <c r="G1124" s="1510"/>
      <c r="H1124" s="1478"/>
      <c r="I1124" s="1473"/>
      <c r="J1124" s="1473"/>
      <c r="K1124" s="1473"/>
      <c r="L1124" s="570" t="s">
        <v>805</v>
      </c>
      <c r="M1124" s="570" t="s">
        <v>805</v>
      </c>
      <c r="N1124" s="753" t="s">
        <v>1149</v>
      </c>
      <c r="O1124" s="1478"/>
      <c r="P1124" s="1478"/>
      <c r="Q1124" s="1496"/>
    </row>
    <row r="1125" spans="1:19" ht="30">
      <c r="A1125" s="1635" t="s">
        <v>708</v>
      </c>
      <c r="B1125" s="1599" t="s">
        <v>1451</v>
      </c>
      <c r="C1125" s="1613" t="s">
        <v>708</v>
      </c>
      <c r="D1125" s="1607">
        <f>D1117</f>
        <v>977</v>
      </c>
      <c r="E1125" s="1628">
        <v>1000</v>
      </c>
      <c r="F1125" s="1129" t="s">
        <v>323</v>
      </c>
      <c r="G1125" s="423" t="s">
        <v>1724</v>
      </c>
      <c r="H1125" s="431" t="s">
        <v>280</v>
      </c>
      <c r="I1125" s="1123">
        <v>1</v>
      </c>
      <c r="J1125" s="1123">
        <f>'preturi unitare'!O29</f>
        <v>165500</v>
      </c>
      <c r="K1125" s="1123">
        <f>I1125*J1125</f>
        <v>165500</v>
      </c>
      <c r="L1125" s="411">
        <v>0</v>
      </c>
      <c r="M1125" s="411">
        <f>K1125</f>
        <v>165500</v>
      </c>
      <c r="N1125" s="429">
        <v>0</v>
      </c>
      <c r="O1125" s="1465">
        <f>SUM(K1125:K1126)</f>
        <v>1320500</v>
      </c>
      <c r="P1125" s="1465">
        <f>O1125/E1125</f>
        <v>1320.5</v>
      </c>
      <c r="Q1125" s="1497" t="s">
        <v>1725</v>
      </c>
    </row>
    <row r="1126" spans="1:19" s="382" customFormat="1" ht="30">
      <c r="A1126" s="1568"/>
      <c r="B1126" s="1701"/>
      <c r="C1126" s="1612"/>
      <c r="D1126" s="1577"/>
      <c r="E1126" s="1607"/>
      <c r="F1126" s="1128" t="s">
        <v>325</v>
      </c>
      <c r="G1126" s="984" t="s">
        <v>961</v>
      </c>
      <c r="H1126" s="807" t="s">
        <v>160</v>
      </c>
      <c r="I1126" s="1119">
        <v>7500</v>
      </c>
      <c r="J1126" s="1119">
        <f>'preturi unitare'!H40</f>
        <v>154</v>
      </c>
      <c r="K1126" s="1119">
        <f>I1126*J1126</f>
        <v>1155000</v>
      </c>
      <c r="L1126" s="334">
        <v>0</v>
      </c>
      <c r="M1126" s="411">
        <f t="shared" ref="M1126:M1128" si="95">K1126</f>
        <v>1155000</v>
      </c>
      <c r="N1126" s="429">
        <v>0</v>
      </c>
      <c r="O1126" s="1482"/>
      <c r="P1126" s="1482"/>
      <c r="Q1126" s="1499"/>
    </row>
    <row r="1127" spans="1:19" s="382" customFormat="1" ht="30">
      <c r="A1127" s="1568"/>
      <c r="B1127" s="1567" t="s">
        <v>1451</v>
      </c>
      <c r="C1127" s="1590" t="s">
        <v>709</v>
      </c>
      <c r="D1127" s="1577">
        <f>D1118</f>
        <v>723</v>
      </c>
      <c r="E1127" s="1629">
        <f>D1127</f>
        <v>723</v>
      </c>
      <c r="F1127" s="1128" t="s">
        <v>323</v>
      </c>
      <c r="G1127" s="362" t="s">
        <v>962</v>
      </c>
      <c r="H1127" s="807" t="s">
        <v>280</v>
      </c>
      <c r="I1127" s="1119">
        <v>1</v>
      </c>
      <c r="J1127" s="1119">
        <f>'preturi unitare'!O27</f>
        <v>106500</v>
      </c>
      <c r="K1127" s="1119">
        <f>I1127*J1127</f>
        <v>106500</v>
      </c>
      <c r="L1127" s="334">
        <v>0</v>
      </c>
      <c r="M1127" s="411">
        <f t="shared" si="95"/>
        <v>106500</v>
      </c>
      <c r="N1127" s="429">
        <v>0</v>
      </c>
      <c r="O1127" s="1483">
        <f>SUM(K1127:K1128)</f>
        <v>922700</v>
      </c>
      <c r="P1127" s="1483">
        <f>O1127/D1127</f>
        <v>1276.210235131397</v>
      </c>
      <c r="Q1127" s="1581" t="s">
        <v>1530</v>
      </c>
    </row>
    <row r="1128" spans="1:19" ht="30">
      <c r="A1128" s="1568"/>
      <c r="B1128" s="1701"/>
      <c r="C1128" s="1590"/>
      <c r="D1128" s="1577"/>
      <c r="E1128" s="1598"/>
      <c r="F1128" s="762" t="s">
        <v>325</v>
      </c>
      <c r="G1128" s="362" t="s">
        <v>391</v>
      </c>
      <c r="H1128" s="807" t="s">
        <v>160</v>
      </c>
      <c r="I1128" s="776">
        <v>5300</v>
      </c>
      <c r="J1128" s="776">
        <f>J1126</f>
        <v>154</v>
      </c>
      <c r="K1128" s="776">
        <f>I1128*J1128</f>
        <v>816200</v>
      </c>
      <c r="L1128" s="618">
        <v>0</v>
      </c>
      <c r="M1128" s="411">
        <f t="shared" si="95"/>
        <v>816200</v>
      </c>
      <c r="N1128" s="429">
        <v>0</v>
      </c>
      <c r="O1128" s="1483"/>
      <c r="P1128" s="1483"/>
      <c r="Q1128" s="1637"/>
    </row>
    <row r="1129" spans="1:19" s="378" customFormat="1">
      <c r="A1129" s="820"/>
      <c r="B1129" s="761"/>
      <c r="C1129" s="761"/>
      <c r="D1129" s="761"/>
      <c r="E1129" s="761"/>
      <c r="F1129" s="762"/>
      <c r="G1129" s="384"/>
      <c r="H1129" s="776"/>
      <c r="I1129" s="776"/>
      <c r="J1129" s="776"/>
      <c r="K1129" s="776"/>
      <c r="L1129" s="334"/>
      <c r="M1129" s="334"/>
      <c r="N1129" s="326"/>
      <c r="O1129" s="776"/>
      <c r="P1129" s="776"/>
      <c r="Q1129" s="587"/>
    </row>
    <row r="1130" spans="1:19">
      <c r="A1130" s="1535" t="s">
        <v>392</v>
      </c>
      <c r="B1130" s="1536"/>
      <c r="C1130" s="1536"/>
      <c r="D1130" s="1536"/>
      <c r="E1130" s="1536"/>
      <c r="F1130" s="1536"/>
      <c r="G1130" s="1537"/>
      <c r="H1130" s="364"/>
      <c r="I1130" s="364"/>
      <c r="J1130" s="364"/>
      <c r="K1130" s="364">
        <f>SUM(K1125:K1128)</f>
        <v>2243200</v>
      </c>
      <c r="L1130" s="365">
        <f>SUM(L1125:L1128)</f>
        <v>0</v>
      </c>
      <c r="M1130" s="365">
        <f>SUM(M1125:M1128)</f>
        <v>2243200</v>
      </c>
      <c r="N1130" s="364">
        <f>SUM(N1125:N1128)</f>
        <v>0</v>
      </c>
      <c r="O1130" s="776"/>
      <c r="P1130" s="776"/>
      <c r="Q1130" s="587"/>
    </row>
    <row r="1131" spans="1:19">
      <c r="A1131" s="820"/>
      <c r="B1131" s="782"/>
      <c r="C1131" s="782"/>
      <c r="D1131" s="782"/>
      <c r="E1131" s="782"/>
      <c r="F1131" s="762"/>
      <c r="G1131" s="328"/>
      <c r="H1131" s="776"/>
      <c r="I1131" s="776"/>
      <c r="J1131" s="776"/>
      <c r="K1131" s="776"/>
      <c r="L1131" s="334"/>
      <c r="M1131" s="334"/>
      <c r="N1131" s="776"/>
      <c r="O1131" s="776"/>
      <c r="P1131" s="776"/>
      <c r="Q1131" s="587"/>
    </row>
    <row r="1132" spans="1:19" ht="15.75" customHeight="1" thickBot="1">
      <c r="A1132" s="1474" t="s">
        <v>393</v>
      </c>
      <c r="B1132" s="1475"/>
      <c r="C1132" s="1475"/>
      <c r="D1132" s="1475"/>
      <c r="E1132" s="1475"/>
      <c r="F1132" s="1475"/>
      <c r="G1132" s="1476"/>
      <c r="H1132" s="581"/>
      <c r="I1132" s="581"/>
      <c r="J1132" s="581"/>
      <c r="K1132" s="582">
        <f>K1121+K1130</f>
        <v>3065200</v>
      </c>
      <c r="L1132" s="583">
        <f>L1121+L1130</f>
        <v>822000</v>
      </c>
      <c r="M1132" s="583">
        <f>M1121+M1130</f>
        <v>2243200</v>
      </c>
      <c r="N1132" s="582">
        <f>N1121+N1130</f>
        <v>0</v>
      </c>
      <c r="O1132" s="581"/>
      <c r="P1132" s="581"/>
      <c r="Q1132" s="816"/>
    </row>
    <row r="1133" spans="1:19" ht="15.75" thickBot="1">
      <c r="A1133" s="586"/>
      <c r="B1133" s="871"/>
      <c r="C1133" s="871"/>
      <c r="D1133" s="871"/>
      <c r="E1133" s="871"/>
      <c r="F1133" s="595"/>
      <c r="G1133" s="595"/>
      <c r="H1133" s="716"/>
      <c r="I1133" s="716"/>
      <c r="J1133" s="716"/>
      <c r="K1133" s="626"/>
      <c r="L1133" s="592"/>
      <c r="M1133" s="592"/>
      <c r="N1133" s="626"/>
      <c r="O1133" s="771"/>
      <c r="P1133" s="771"/>
      <c r="Q1133" s="586"/>
    </row>
    <row r="1134" spans="1:19">
      <c r="A1134" s="859"/>
      <c r="B1134" s="639"/>
      <c r="C1134" s="639"/>
      <c r="D1134" s="639"/>
      <c r="E1134" s="639"/>
      <c r="F1134" s="831"/>
      <c r="G1134" s="1133" t="s">
        <v>1919</v>
      </c>
      <c r="H1134" s="873"/>
      <c r="I1134" s="873"/>
      <c r="J1134" s="641"/>
      <c r="K1134" s="639"/>
      <c r="L1134" s="640"/>
      <c r="M1134" s="640"/>
      <c r="N1134" s="639"/>
      <c r="O1134" s="841"/>
      <c r="P1134" s="841"/>
      <c r="Q1134" s="642"/>
    </row>
    <row r="1135" spans="1:19" ht="15.75" thickBot="1">
      <c r="A1135" s="833"/>
      <c r="B1135" s="355"/>
      <c r="C1135" s="355"/>
      <c r="D1135" s="355"/>
      <c r="E1135" s="355"/>
      <c r="F1135" s="356"/>
      <c r="G1135" s="357"/>
      <c r="H1135" s="358"/>
      <c r="I1135" s="358"/>
      <c r="J1135" s="358"/>
      <c r="K1135" s="358"/>
      <c r="L1135" s="359"/>
      <c r="M1135" s="359"/>
      <c r="N1135" s="358"/>
      <c r="O1135" s="770"/>
      <c r="P1135" s="770"/>
      <c r="Q1135" s="857"/>
    </row>
    <row r="1136" spans="1:19" ht="60" customHeight="1">
      <c r="A1136" s="1562" t="s">
        <v>1452</v>
      </c>
      <c r="B1136" s="1538" t="s">
        <v>676</v>
      </c>
      <c r="C1136" s="1564" t="s">
        <v>610</v>
      </c>
      <c r="D1136" s="1538" t="s">
        <v>611</v>
      </c>
      <c r="E1136" s="1538" t="s">
        <v>1453</v>
      </c>
      <c r="F1136" s="1472" t="s">
        <v>159</v>
      </c>
      <c r="G1136" s="1509" t="s">
        <v>110</v>
      </c>
      <c r="H1136" s="1477" t="s">
        <v>316</v>
      </c>
      <c r="I1136" s="1472" t="s">
        <v>315</v>
      </c>
      <c r="J1136" s="1472" t="s">
        <v>317</v>
      </c>
      <c r="K1136" s="1472" t="s">
        <v>318</v>
      </c>
      <c r="L1136" s="569" t="s">
        <v>1443</v>
      </c>
      <c r="M1136" s="569" t="s">
        <v>1444</v>
      </c>
      <c r="N1136" s="752" t="s">
        <v>1445</v>
      </c>
      <c r="O1136" s="1477" t="s">
        <v>1673</v>
      </c>
      <c r="P1136" s="1477" t="s">
        <v>1307</v>
      </c>
      <c r="Q1136" s="1495" t="s">
        <v>1454</v>
      </c>
    </row>
    <row r="1137" spans="1:19" ht="15.75" thickBot="1">
      <c r="A1137" s="1563"/>
      <c r="B1137" s="1539"/>
      <c r="C1137" s="1565"/>
      <c r="D1137" s="1539"/>
      <c r="E1137" s="1539"/>
      <c r="F1137" s="1473"/>
      <c r="G1137" s="1510"/>
      <c r="H1137" s="1478"/>
      <c r="I1137" s="1473"/>
      <c r="J1137" s="1473"/>
      <c r="K1137" s="1473"/>
      <c r="L1137" s="570" t="s">
        <v>805</v>
      </c>
      <c r="M1137" s="570" t="s">
        <v>805</v>
      </c>
      <c r="N1137" s="753" t="s">
        <v>1149</v>
      </c>
      <c r="O1137" s="1478"/>
      <c r="P1137" s="1478"/>
      <c r="Q1137" s="1496"/>
    </row>
    <row r="1138" spans="1:19" ht="75.75" customHeight="1">
      <c r="A1138" s="909" t="s">
        <v>710</v>
      </c>
      <c r="B1138" s="765" t="s">
        <v>1498</v>
      </c>
      <c r="C1138" s="759" t="s">
        <v>710</v>
      </c>
      <c r="D1138" s="758">
        <v>2000</v>
      </c>
      <c r="E1138" s="758" t="s">
        <v>1451</v>
      </c>
      <c r="F1138" s="757" t="s">
        <v>322</v>
      </c>
      <c r="G1138" s="412" t="s">
        <v>394</v>
      </c>
      <c r="H1138" s="414" t="s">
        <v>160</v>
      </c>
      <c r="I1138" s="756">
        <v>3000</v>
      </c>
      <c r="J1138" s="756">
        <f>J1088</f>
        <v>64</v>
      </c>
      <c r="K1138" s="756">
        <f>I1138*J1138</f>
        <v>192000</v>
      </c>
      <c r="L1138" s="411">
        <f>K1138</f>
        <v>192000</v>
      </c>
      <c r="M1138" s="411">
        <v>0</v>
      </c>
      <c r="N1138" s="424">
        <v>0</v>
      </c>
      <c r="O1138" s="756">
        <f>L1138</f>
        <v>192000</v>
      </c>
      <c r="P1138" s="756">
        <f>O1138/D1138</f>
        <v>96</v>
      </c>
      <c r="Q1138" s="993" t="s">
        <v>1653</v>
      </c>
    </row>
    <row r="1139" spans="1:19">
      <c r="A1139" s="820"/>
      <c r="B1139" s="326"/>
      <c r="C1139" s="326"/>
      <c r="D1139" s="326"/>
      <c r="E1139" s="326"/>
      <c r="F1139" s="326"/>
      <c r="G1139" s="326"/>
      <c r="H1139" s="326"/>
      <c r="I1139" s="776"/>
      <c r="J1139" s="776"/>
      <c r="K1139" s="776"/>
      <c r="L1139" s="334"/>
      <c r="M1139" s="334"/>
      <c r="N1139" s="326"/>
      <c r="O1139" s="776"/>
      <c r="P1139" s="776"/>
      <c r="Q1139" s="979"/>
    </row>
    <row r="1140" spans="1:19">
      <c r="A1140" s="1469" t="s">
        <v>576</v>
      </c>
      <c r="B1140" s="1470"/>
      <c r="C1140" s="1470"/>
      <c r="D1140" s="1470"/>
      <c r="E1140" s="1470"/>
      <c r="F1140" s="1470"/>
      <c r="G1140" s="1471"/>
      <c r="H1140" s="793"/>
      <c r="I1140" s="776"/>
      <c r="J1140" s="776"/>
      <c r="K1140" s="364">
        <f>K1138</f>
        <v>192000</v>
      </c>
      <c r="L1140" s="365">
        <f>L1138</f>
        <v>192000</v>
      </c>
      <c r="M1140" s="365">
        <f>M1138</f>
        <v>0</v>
      </c>
      <c r="N1140" s="364">
        <f>N1138</f>
        <v>0</v>
      </c>
      <c r="O1140" s="776"/>
      <c r="P1140" s="776"/>
      <c r="Q1140" s="979"/>
      <c r="S1140" s="629"/>
    </row>
    <row r="1141" spans="1:19" ht="15.75" thickBot="1">
      <c r="A1141" s="833"/>
      <c r="B1141" s="397"/>
      <c r="C1141" s="397"/>
      <c r="D1141" s="397"/>
      <c r="E1141" s="397"/>
      <c r="F1141" s="766"/>
      <c r="G1141" s="417"/>
      <c r="H1141" s="732"/>
      <c r="I1141" s="732"/>
      <c r="J1141" s="732"/>
      <c r="K1141" s="732"/>
      <c r="L1141" s="426"/>
      <c r="M1141" s="426"/>
      <c r="N1141" s="418"/>
      <c r="O1141" s="770"/>
      <c r="P1141" s="770"/>
      <c r="Q1141" s="857"/>
    </row>
    <row r="1142" spans="1:19" s="382" customFormat="1" ht="60" customHeight="1">
      <c r="A1142" s="1542" t="s">
        <v>632</v>
      </c>
      <c r="B1142" s="1544" t="s">
        <v>617</v>
      </c>
      <c r="C1142" s="1538" t="s">
        <v>610</v>
      </c>
      <c r="D1142" s="1538" t="s">
        <v>611</v>
      </c>
      <c r="E1142" s="1538" t="s">
        <v>1453</v>
      </c>
      <c r="F1142" s="1472" t="s">
        <v>159</v>
      </c>
      <c r="G1142" s="1509" t="s">
        <v>110</v>
      </c>
      <c r="H1142" s="1477" t="s">
        <v>316</v>
      </c>
      <c r="I1142" s="1472" t="s">
        <v>315</v>
      </c>
      <c r="J1142" s="1472" t="s">
        <v>317</v>
      </c>
      <c r="K1142" s="1472" t="s">
        <v>318</v>
      </c>
      <c r="L1142" s="569" t="s">
        <v>1443</v>
      </c>
      <c r="M1142" s="569" t="s">
        <v>1444</v>
      </c>
      <c r="N1142" s="752" t="s">
        <v>1445</v>
      </c>
      <c r="O1142" s="1477" t="s">
        <v>1673</v>
      </c>
      <c r="P1142" s="1477" t="s">
        <v>1307</v>
      </c>
      <c r="Q1142" s="1495" t="s">
        <v>1454</v>
      </c>
    </row>
    <row r="1143" spans="1:19" s="382" customFormat="1" ht="15.75" thickBot="1">
      <c r="A1143" s="1543"/>
      <c r="B1143" s="1545"/>
      <c r="C1143" s="1539"/>
      <c r="D1143" s="1539"/>
      <c r="E1143" s="1539"/>
      <c r="F1143" s="1473"/>
      <c r="G1143" s="1510"/>
      <c r="H1143" s="1478"/>
      <c r="I1143" s="1473"/>
      <c r="J1143" s="1473"/>
      <c r="K1143" s="1473"/>
      <c r="L1143" s="570" t="s">
        <v>805</v>
      </c>
      <c r="M1143" s="570" t="s">
        <v>805</v>
      </c>
      <c r="N1143" s="753" t="s">
        <v>1149</v>
      </c>
      <c r="O1143" s="1478"/>
      <c r="P1143" s="1478"/>
      <c r="Q1143" s="1496"/>
    </row>
    <row r="1144" spans="1:19" ht="75">
      <c r="A1144" s="909" t="s">
        <v>710</v>
      </c>
      <c r="B1144" s="765" t="s">
        <v>1497</v>
      </c>
      <c r="C1144" s="759" t="s">
        <v>710</v>
      </c>
      <c r="D1144" s="758">
        <v>2000</v>
      </c>
      <c r="E1144" s="758">
        <f>1.1*D1144</f>
        <v>2200</v>
      </c>
      <c r="F1144" s="757" t="s">
        <v>325</v>
      </c>
      <c r="G1144" s="412" t="s">
        <v>395</v>
      </c>
      <c r="H1144" s="414" t="s">
        <v>160</v>
      </c>
      <c r="I1144" s="756">
        <v>2000</v>
      </c>
      <c r="J1144" s="756">
        <f>'preturi unitare'!H40</f>
        <v>154</v>
      </c>
      <c r="K1144" s="756">
        <f>I1144*J1144</f>
        <v>308000</v>
      </c>
      <c r="L1144" s="411">
        <f>K1144</f>
        <v>308000</v>
      </c>
      <c r="M1144" s="411">
        <v>0</v>
      </c>
      <c r="N1144" s="925">
        <v>0</v>
      </c>
      <c r="O1144" s="756">
        <f>L1144</f>
        <v>308000</v>
      </c>
      <c r="P1144" s="756">
        <f>O1144/D1144</f>
        <v>154</v>
      </c>
      <c r="Q1144" s="1006" t="s">
        <v>1655</v>
      </c>
    </row>
    <row r="1145" spans="1:19" s="378" customFormat="1">
      <c r="A1145" s="820"/>
      <c r="B1145" s="761"/>
      <c r="C1145" s="761"/>
      <c r="D1145" s="761"/>
      <c r="E1145" s="761"/>
      <c r="F1145" s="762"/>
      <c r="G1145" s="384"/>
      <c r="H1145" s="776"/>
      <c r="I1145" s="776"/>
      <c r="J1145" s="776"/>
      <c r="K1145" s="776"/>
      <c r="L1145" s="334"/>
      <c r="M1145" s="334"/>
      <c r="N1145" s="326"/>
      <c r="O1145" s="776"/>
      <c r="P1145" s="776"/>
      <c r="Q1145" s="1009"/>
    </row>
    <row r="1146" spans="1:19">
      <c r="A1146" s="1535" t="s">
        <v>396</v>
      </c>
      <c r="B1146" s="1536"/>
      <c r="C1146" s="1536"/>
      <c r="D1146" s="1536"/>
      <c r="E1146" s="1536"/>
      <c r="F1146" s="1536"/>
      <c r="G1146" s="1537"/>
      <c r="H1146" s="364"/>
      <c r="I1146" s="364"/>
      <c r="J1146" s="364"/>
      <c r="K1146" s="364">
        <f>SUM(K1144:K1144)</f>
        <v>308000</v>
      </c>
      <c r="L1146" s="365">
        <f>SUM(L1144:L1144)</f>
        <v>308000</v>
      </c>
      <c r="M1146" s="365">
        <f>M1144</f>
        <v>0</v>
      </c>
      <c r="N1146" s="364">
        <f>+N1140</f>
        <v>0</v>
      </c>
      <c r="O1146" s="776"/>
      <c r="P1146" s="776"/>
      <c r="Q1146" s="1009"/>
    </row>
    <row r="1147" spans="1:19">
      <c r="A1147" s="820"/>
      <c r="B1147" s="782"/>
      <c r="C1147" s="782"/>
      <c r="D1147" s="782"/>
      <c r="E1147" s="782"/>
      <c r="F1147" s="762"/>
      <c r="G1147" s="328"/>
      <c r="H1147" s="776"/>
      <c r="I1147" s="776"/>
      <c r="J1147" s="776"/>
      <c r="K1147" s="776"/>
      <c r="L1147" s="334"/>
      <c r="M1147" s="334"/>
      <c r="N1147" s="776"/>
      <c r="O1147" s="776"/>
      <c r="P1147" s="776"/>
      <c r="Q1147" s="587"/>
    </row>
    <row r="1148" spans="1:19" ht="15.75" customHeight="1" thickBot="1">
      <c r="A1148" s="1474" t="s">
        <v>397</v>
      </c>
      <c r="B1148" s="1475"/>
      <c r="C1148" s="1475"/>
      <c r="D1148" s="1475"/>
      <c r="E1148" s="1475"/>
      <c r="F1148" s="1475"/>
      <c r="G1148" s="1476"/>
      <c r="H1148" s="581"/>
      <c r="I1148" s="581"/>
      <c r="J1148" s="581"/>
      <c r="K1148" s="582">
        <f>K1146+K1140</f>
        <v>500000</v>
      </c>
      <c r="L1148" s="583">
        <f>L1146+L1140</f>
        <v>500000</v>
      </c>
      <c r="M1148" s="583">
        <f>M1146+M1140</f>
        <v>0</v>
      </c>
      <c r="N1148" s="582">
        <f>N1146+N1140</f>
        <v>0</v>
      </c>
      <c r="O1148" s="581"/>
      <c r="P1148" s="581"/>
      <c r="Q1148" s="816"/>
    </row>
    <row r="1149" spans="1:19" ht="15.75" customHeight="1" thickBot="1">
      <c r="A1149" s="586"/>
      <c r="B1149" s="586"/>
      <c r="C1149" s="586"/>
      <c r="D1149" s="586"/>
      <c r="E1149" s="586"/>
      <c r="F1149" s="586"/>
      <c r="G1149" s="586"/>
      <c r="H1149" s="586"/>
      <c r="I1149" s="586"/>
      <c r="J1149" s="586"/>
      <c r="K1149" s="586"/>
      <c r="L1149" s="586"/>
      <c r="M1149" s="586"/>
      <c r="N1149" s="586"/>
      <c r="O1149" s="586"/>
      <c r="P1149" s="586"/>
      <c r="Q1149" s="586"/>
    </row>
    <row r="1150" spans="1:19" s="373" customFormat="1" ht="15.75" thickBot="1">
      <c r="A1150" s="882"/>
      <c r="B1150" s="639"/>
      <c r="C1150" s="639"/>
      <c r="D1150" s="639"/>
      <c r="E1150" s="639"/>
      <c r="F1150" s="846"/>
      <c r="G1150" s="577" t="s">
        <v>1920</v>
      </c>
      <c r="H1150" s="872"/>
      <c r="I1150" s="873"/>
      <c r="J1150" s="853"/>
      <c r="K1150" s="639"/>
      <c r="L1150" s="640"/>
      <c r="M1150" s="640"/>
      <c r="N1150" s="639"/>
      <c r="O1150" s="712"/>
      <c r="P1150" s="712"/>
      <c r="Q1150" s="883"/>
    </row>
    <row r="1151" spans="1:19" s="373" customFormat="1" ht="15.75" thickBot="1">
      <c r="A1151" s="884"/>
      <c r="B1151" s="355"/>
      <c r="C1151" s="355"/>
      <c r="D1151" s="355"/>
      <c r="E1151" s="355"/>
      <c r="F1151" s="356"/>
      <c r="G1151" s="576"/>
      <c r="H1151" s="358"/>
      <c r="I1151" s="358"/>
      <c r="J1151" s="358"/>
      <c r="K1151" s="358"/>
      <c r="L1151" s="359"/>
      <c r="M1151" s="359"/>
      <c r="N1151" s="358"/>
      <c r="O1151" s="732"/>
      <c r="P1151" s="732"/>
      <c r="Q1151" s="862"/>
    </row>
    <row r="1152" spans="1:19" s="373" customFormat="1" ht="60" customHeight="1">
      <c r="A1152" s="1562" t="s">
        <v>1452</v>
      </c>
      <c r="B1152" s="1538" t="s">
        <v>676</v>
      </c>
      <c r="C1152" s="1564" t="s">
        <v>610</v>
      </c>
      <c r="D1152" s="1538" t="s">
        <v>611</v>
      </c>
      <c r="E1152" s="1538" t="s">
        <v>1453</v>
      </c>
      <c r="F1152" s="1472" t="s">
        <v>159</v>
      </c>
      <c r="G1152" s="1509" t="s">
        <v>110</v>
      </c>
      <c r="H1152" s="1477" t="s">
        <v>316</v>
      </c>
      <c r="I1152" s="1472" t="s">
        <v>315</v>
      </c>
      <c r="J1152" s="1472" t="s">
        <v>317</v>
      </c>
      <c r="K1152" s="1472" t="s">
        <v>318</v>
      </c>
      <c r="L1152" s="569" t="s">
        <v>1443</v>
      </c>
      <c r="M1152" s="569" t="s">
        <v>1444</v>
      </c>
      <c r="N1152" s="752" t="s">
        <v>1445</v>
      </c>
      <c r="O1152" s="1477" t="s">
        <v>1673</v>
      </c>
      <c r="P1152" s="1477" t="s">
        <v>1307</v>
      </c>
      <c r="Q1152" s="1495" t="s">
        <v>1454</v>
      </c>
    </row>
    <row r="1153" spans="1:19" s="373" customFormat="1" ht="15.75" thickBot="1">
      <c r="A1153" s="1563"/>
      <c r="B1153" s="1539"/>
      <c r="C1153" s="1565"/>
      <c r="D1153" s="1539"/>
      <c r="E1153" s="1539"/>
      <c r="F1153" s="1473"/>
      <c r="G1153" s="1510"/>
      <c r="H1153" s="1478"/>
      <c r="I1153" s="1473"/>
      <c r="J1153" s="1473"/>
      <c r="K1153" s="1473"/>
      <c r="L1153" s="570" t="s">
        <v>805</v>
      </c>
      <c r="M1153" s="570" t="s">
        <v>805</v>
      </c>
      <c r="N1153" s="753" t="s">
        <v>1149</v>
      </c>
      <c r="O1153" s="1478"/>
      <c r="P1153" s="1478"/>
      <c r="Q1153" s="1496"/>
    </row>
    <row r="1154" spans="1:19" s="373" customFormat="1" ht="30">
      <c r="A1154" s="1485" t="s">
        <v>711</v>
      </c>
      <c r="B1154" s="1626" t="s">
        <v>1499</v>
      </c>
      <c r="C1154" s="1840" t="s">
        <v>2050</v>
      </c>
      <c r="D1154" s="1610">
        <f>1943+593</f>
        <v>2536</v>
      </c>
      <c r="E1154" s="1628" t="s">
        <v>1451</v>
      </c>
      <c r="F1154" s="1784" t="s">
        <v>322</v>
      </c>
      <c r="G1154" s="423" t="s">
        <v>546</v>
      </c>
      <c r="H1154" s="414" t="s">
        <v>160</v>
      </c>
      <c r="I1154" s="756">
        <v>4000</v>
      </c>
      <c r="J1154" s="756">
        <f>'preturi unitare'!H23</f>
        <v>68</v>
      </c>
      <c r="K1154" s="756">
        <f>I1154*J1154</f>
        <v>272000</v>
      </c>
      <c r="L1154" s="411">
        <f>K1154</f>
        <v>272000</v>
      </c>
      <c r="M1154" s="411">
        <v>0</v>
      </c>
      <c r="N1154" s="756">
        <v>0</v>
      </c>
      <c r="O1154" s="1465">
        <f>SUM(L1154:L1155)</f>
        <v>592000</v>
      </c>
      <c r="P1154" s="1465">
        <f>O1154/D1154</f>
        <v>233.43848580441642</v>
      </c>
      <c r="Q1154" s="1497" t="s">
        <v>1654</v>
      </c>
    </row>
    <row r="1155" spans="1:19" s="373" customFormat="1" ht="30">
      <c r="A1155" s="1486"/>
      <c r="B1155" s="1626"/>
      <c r="C1155" s="1841"/>
      <c r="D1155" s="1628"/>
      <c r="E1155" s="1607"/>
      <c r="F1155" s="1785"/>
      <c r="G1155" s="362" t="s">
        <v>547</v>
      </c>
      <c r="H1155" s="807" t="s">
        <v>160</v>
      </c>
      <c r="I1155" s="776">
        <v>5000</v>
      </c>
      <c r="J1155" s="776">
        <f>'preturi unitare'!H22</f>
        <v>64</v>
      </c>
      <c r="K1155" s="776">
        <f>I1155*J1155</f>
        <v>320000</v>
      </c>
      <c r="L1155" s="334">
        <f>K1155</f>
        <v>320000</v>
      </c>
      <c r="M1155" s="334">
        <v>0</v>
      </c>
      <c r="N1155" s="776">
        <v>0</v>
      </c>
      <c r="O1155" s="1482"/>
      <c r="P1155" s="1482"/>
      <c r="Q1155" s="1498"/>
    </row>
    <row r="1156" spans="1:19" s="373" customFormat="1">
      <c r="A1156" s="885"/>
      <c r="B1156" s="326"/>
      <c r="C1156" s="326"/>
      <c r="D1156" s="326"/>
      <c r="E1156" s="326"/>
      <c r="F1156" s="326"/>
      <c r="G1156" s="326"/>
      <c r="H1156" s="326"/>
      <c r="I1156" s="776"/>
      <c r="J1156" s="776"/>
      <c r="K1156" s="776"/>
      <c r="L1156" s="334"/>
      <c r="M1156" s="334"/>
      <c r="N1156" s="326"/>
      <c r="O1156" s="776"/>
      <c r="P1156" s="776"/>
      <c r="Q1156" s="584"/>
    </row>
    <row r="1157" spans="1:19" s="373" customFormat="1">
      <c r="A1157" s="1469" t="s">
        <v>543</v>
      </c>
      <c r="B1157" s="1470"/>
      <c r="C1157" s="1470"/>
      <c r="D1157" s="1470"/>
      <c r="E1157" s="1470"/>
      <c r="F1157" s="1470"/>
      <c r="G1157" s="1471"/>
      <c r="H1157" s="793"/>
      <c r="I1157" s="776"/>
      <c r="J1157" s="776"/>
      <c r="K1157" s="364">
        <f>SUM(K1154:K1155)</f>
        <v>592000</v>
      </c>
      <c r="L1157" s="365">
        <f>SUM(L1154:L1155)</f>
        <v>592000</v>
      </c>
      <c r="M1157" s="365">
        <f>SUM(M1154:M1155)</f>
        <v>0</v>
      </c>
      <c r="N1157" s="364">
        <f>SUM(N1154:N1155)</f>
        <v>0</v>
      </c>
      <c r="O1157" s="776"/>
      <c r="P1157" s="776"/>
      <c r="Q1157" s="584"/>
      <c r="S1157" s="374"/>
    </row>
    <row r="1158" spans="1:19" s="373" customFormat="1" ht="15.75" thickBot="1">
      <c r="A1158" s="884"/>
      <c r="B1158" s="397"/>
      <c r="C1158" s="397"/>
      <c r="D1158" s="397"/>
      <c r="E1158" s="397"/>
      <c r="F1158" s="766"/>
      <c r="G1158" s="417"/>
      <c r="H1158" s="732"/>
      <c r="I1158" s="732"/>
      <c r="J1158" s="732"/>
      <c r="K1158" s="732"/>
      <c r="L1158" s="426"/>
      <c r="M1158" s="426"/>
      <c r="N1158" s="418"/>
      <c r="O1158" s="732"/>
      <c r="P1158" s="732"/>
      <c r="Q1158" s="862"/>
    </row>
    <row r="1159" spans="1:19" s="373" customFormat="1" ht="60" customHeight="1">
      <c r="A1159" s="1542" t="s">
        <v>632</v>
      </c>
      <c r="B1159" s="1544" t="s">
        <v>617</v>
      </c>
      <c r="C1159" s="1538" t="s">
        <v>610</v>
      </c>
      <c r="D1159" s="1538" t="s">
        <v>611</v>
      </c>
      <c r="E1159" s="1538" t="s">
        <v>1453</v>
      </c>
      <c r="F1159" s="1472" t="s">
        <v>159</v>
      </c>
      <c r="G1159" s="1509" t="s">
        <v>110</v>
      </c>
      <c r="H1159" s="1477" t="s">
        <v>316</v>
      </c>
      <c r="I1159" s="1472" t="s">
        <v>315</v>
      </c>
      <c r="J1159" s="1472" t="s">
        <v>317</v>
      </c>
      <c r="K1159" s="1472" t="s">
        <v>318</v>
      </c>
      <c r="L1159" s="569" t="s">
        <v>1443</v>
      </c>
      <c r="M1159" s="569" t="s">
        <v>1444</v>
      </c>
      <c r="N1159" s="752" t="s">
        <v>1445</v>
      </c>
      <c r="O1159" s="1477" t="s">
        <v>1673</v>
      </c>
      <c r="P1159" s="1477" t="s">
        <v>1307</v>
      </c>
      <c r="Q1159" s="1495" t="s">
        <v>1454</v>
      </c>
    </row>
    <row r="1160" spans="1:19" s="373" customFormat="1" ht="15.75" thickBot="1">
      <c r="A1160" s="1543"/>
      <c r="B1160" s="1545"/>
      <c r="C1160" s="1539"/>
      <c r="D1160" s="1539"/>
      <c r="E1160" s="1539"/>
      <c r="F1160" s="1473"/>
      <c r="G1160" s="1510"/>
      <c r="H1160" s="1478"/>
      <c r="I1160" s="1473"/>
      <c r="J1160" s="1473"/>
      <c r="K1160" s="1473"/>
      <c r="L1160" s="570" t="s">
        <v>805</v>
      </c>
      <c r="M1160" s="570" t="s">
        <v>805</v>
      </c>
      <c r="N1160" s="753" t="s">
        <v>1149</v>
      </c>
      <c r="O1160" s="1478"/>
      <c r="P1160" s="1478"/>
      <c r="Q1160" s="1496"/>
    </row>
    <row r="1161" spans="1:19" s="373" customFormat="1" ht="75">
      <c r="A1161" s="1247" t="s">
        <v>711</v>
      </c>
      <c r="B1161" s="1236" t="s">
        <v>1500</v>
      </c>
      <c r="C1161" s="759" t="s">
        <v>711</v>
      </c>
      <c r="D1161" s="758">
        <f>D1154</f>
        <v>2536</v>
      </c>
      <c r="E1161" s="758">
        <f>1.1*D1161</f>
        <v>2789.6000000000004</v>
      </c>
      <c r="F1161" s="757" t="s">
        <v>325</v>
      </c>
      <c r="G1161" s="412" t="s">
        <v>548</v>
      </c>
      <c r="H1161" s="414" t="s">
        <v>160</v>
      </c>
      <c r="I1161" s="756">
        <v>7000</v>
      </c>
      <c r="J1161" s="756">
        <f>'preturi unitare'!H40</f>
        <v>154</v>
      </c>
      <c r="K1161" s="756">
        <f>I1161*J1161</f>
        <v>1078000</v>
      </c>
      <c r="L1161" s="411">
        <f>K1161</f>
        <v>1078000</v>
      </c>
      <c r="M1161" s="411">
        <v>0</v>
      </c>
      <c r="N1161" s="756">
        <v>0</v>
      </c>
      <c r="O1161" s="756">
        <f>L1161</f>
        <v>1078000</v>
      </c>
      <c r="P1161" s="756">
        <f>O1161/D1161</f>
        <v>425.07886435331233</v>
      </c>
      <c r="Q1161" s="1245" t="s">
        <v>2051</v>
      </c>
    </row>
    <row r="1162" spans="1:19" s="373" customFormat="1">
      <c r="A1162" s="885"/>
      <c r="B1162" s="761"/>
      <c r="C1162" s="761"/>
      <c r="D1162" s="761"/>
      <c r="E1162" s="761"/>
      <c r="F1162" s="762"/>
      <c r="G1162" s="384"/>
      <c r="H1162" s="776"/>
      <c r="I1162" s="776"/>
      <c r="J1162" s="776"/>
      <c r="K1162" s="776"/>
      <c r="L1162" s="334"/>
      <c r="M1162" s="334"/>
      <c r="N1162" s="326"/>
      <c r="O1162" s="776"/>
      <c r="P1162" s="776"/>
      <c r="Q1162" s="980"/>
    </row>
    <row r="1163" spans="1:19" s="373" customFormat="1">
      <c r="A1163" s="1532" t="s">
        <v>544</v>
      </c>
      <c r="B1163" s="1533"/>
      <c r="C1163" s="1533"/>
      <c r="D1163" s="1533"/>
      <c r="E1163" s="1533"/>
      <c r="F1163" s="1533"/>
      <c r="G1163" s="1534"/>
      <c r="H1163" s="364"/>
      <c r="I1163" s="364"/>
      <c r="J1163" s="364"/>
      <c r="K1163" s="364">
        <f>SUM(K1161:K1161)</f>
        <v>1078000</v>
      </c>
      <c r="L1163" s="365">
        <f>SUM(L1161:L1161)</f>
        <v>1078000</v>
      </c>
      <c r="M1163" s="365">
        <f>SUM(M1161:M1161)</f>
        <v>0</v>
      </c>
      <c r="N1163" s="364">
        <f>SUM(N1161:N1161)</f>
        <v>0</v>
      </c>
      <c r="O1163" s="776"/>
      <c r="P1163" s="776"/>
      <c r="Q1163" s="584"/>
    </row>
    <row r="1164" spans="1:19" s="373" customFormat="1">
      <c r="A1164" s="885"/>
      <c r="B1164" s="782"/>
      <c r="C1164" s="782"/>
      <c r="D1164" s="782"/>
      <c r="E1164" s="782"/>
      <c r="F1164" s="762"/>
      <c r="G1164" s="328"/>
      <c r="H1164" s="776"/>
      <c r="I1164" s="776"/>
      <c r="J1164" s="776"/>
      <c r="K1164" s="776"/>
      <c r="L1164" s="334"/>
      <c r="M1164" s="334"/>
      <c r="N1164" s="776"/>
      <c r="O1164" s="776"/>
      <c r="P1164" s="776"/>
      <c r="Q1164" s="584"/>
    </row>
    <row r="1165" spans="1:19" s="373" customFormat="1" ht="15.75" customHeight="1" thickBot="1">
      <c r="A1165" s="1474" t="s">
        <v>545</v>
      </c>
      <c r="B1165" s="1475"/>
      <c r="C1165" s="1475"/>
      <c r="D1165" s="1475"/>
      <c r="E1165" s="1475"/>
      <c r="F1165" s="1475"/>
      <c r="G1165" s="1476"/>
      <c r="H1165" s="581"/>
      <c r="I1165" s="581"/>
      <c r="J1165" s="581"/>
      <c r="K1165" s="582">
        <f>K1157+K1163</f>
        <v>1670000</v>
      </c>
      <c r="L1165" s="583">
        <f>L1157+L1163</f>
        <v>1670000</v>
      </c>
      <c r="M1165" s="583">
        <f>M1157+M1163</f>
        <v>0</v>
      </c>
      <c r="N1165" s="582">
        <f>N1157+N1163</f>
        <v>0</v>
      </c>
      <c r="O1165" s="581"/>
      <c r="P1165" s="581"/>
      <c r="Q1165" s="886"/>
    </row>
    <row r="1166" spans="1:19" s="373" customFormat="1" ht="15.75" thickBot="1">
      <c r="A1166" s="876"/>
      <c r="B1166" s="871"/>
      <c r="C1166" s="871"/>
      <c r="D1166" s="871"/>
      <c r="E1166" s="871"/>
      <c r="F1166" s="595"/>
      <c r="G1166" s="595"/>
      <c r="H1166" s="716"/>
      <c r="I1166" s="716"/>
      <c r="J1166" s="716"/>
      <c r="K1166" s="626"/>
      <c r="L1166" s="592"/>
      <c r="M1166" s="592"/>
      <c r="N1166" s="626"/>
      <c r="O1166" s="716"/>
      <c r="P1166" s="716"/>
      <c r="Q1166" s="876"/>
    </row>
    <row r="1167" spans="1:19" ht="15.75" thickBot="1">
      <c r="A1167" s="859"/>
      <c r="B1167" s="639"/>
      <c r="C1167" s="639"/>
      <c r="D1167" s="639"/>
      <c r="E1167" s="639"/>
      <c r="F1167" s="846"/>
      <c r="G1167" s="577" t="s">
        <v>1921</v>
      </c>
      <c r="H1167" s="872"/>
      <c r="I1167" s="873"/>
      <c r="J1167" s="641"/>
      <c r="K1167" s="639"/>
      <c r="L1167" s="640"/>
      <c r="M1167" s="640"/>
      <c r="N1167" s="639"/>
      <c r="O1167" s="841"/>
      <c r="P1167" s="841"/>
      <c r="Q1167" s="642"/>
    </row>
    <row r="1168" spans="1:19" ht="15.75" thickBot="1">
      <c r="A1168" s="833"/>
      <c r="B1168" s="355"/>
      <c r="C1168" s="355"/>
      <c r="D1168" s="355"/>
      <c r="E1168" s="355"/>
      <c r="F1168" s="356"/>
      <c r="G1168" s="576"/>
      <c r="H1168" s="358"/>
      <c r="I1168" s="358"/>
      <c r="J1168" s="358"/>
      <c r="K1168" s="358"/>
      <c r="L1168" s="359"/>
      <c r="M1168" s="359"/>
      <c r="N1168" s="358"/>
      <c r="O1168" s="770"/>
      <c r="P1168" s="770"/>
      <c r="Q1168" s="857"/>
    </row>
    <row r="1169" spans="1:19" ht="60" customHeight="1">
      <c r="A1169" s="1562" t="s">
        <v>1452</v>
      </c>
      <c r="B1169" s="1538" t="s">
        <v>676</v>
      </c>
      <c r="C1169" s="1564" t="s">
        <v>610</v>
      </c>
      <c r="D1169" s="1538" t="s">
        <v>611</v>
      </c>
      <c r="E1169" s="1538" t="s">
        <v>1453</v>
      </c>
      <c r="F1169" s="1472" t="s">
        <v>159</v>
      </c>
      <c r="G1169" s="1509" t="s">
        <v>110</v>
      </c>
      <c r="H1169" s="1477" t="s">
        <v>316</v>
      </c>
      <c r="I1169" s="1472" t="s">
        <v>315</v>
      </c>
      <c r="J1169" s="1472" t="s">
        <v>317</v>
      </c>
      <c r="K1169" s="1472" t="s">
        <v>318</v>
      </c>
      <c r="L1169" s="569" t="s">
        <v>1443</v>
      </c>
      <c r="M1169" s="569" t="s">
        <v>1444</v>
      </c>
      <c r="N1169" s="752" t="s">
        <v>1445</v>
      </c>
      <c r="O1169" s="1477" t="s">
        <v>1673</v>
      </c>
      <c r="P1169" s="1477" t="s">
        <v>1307</v>
      </c>
      <c r="Q1169" s="1495" t="s">
        <v>1454</v>
      </c>
    </row>
    <row r="1170" spans="1:19" ht="15.75" thickBot="1">
      <c r="A1170" s="1563"/>
      <c r="B1170" s="1539"/>
      <c r="C1170" s="1565"/>
      <c r="D1170" s="1539"/>
      <c r="E1170" s="1539"/>
      <c r="F1170" s="1473"/>
      <c r="G1170" s="1510"/>
      <c r="H1170" s="1478"/>
      <c r="I1170" s="1473"/>
      <c r="J1170" s="1473"/>
      <c r="K1170" s="1473"/>
      <c r="L1170" s="570" t="s">
        <v>805</v>
      </c>
      <c r="M1170" s="570" t="s">
        <v>805</v>
      </c>
      <c r="N1170" s="753" t="s">
        <v>1149</v>
      </c>
      <c r="O1170" s="1478"/>
      <c r="P1170" s="1478"/>
      <c r="Q1170" s="1496"/>
    </row>
    <row r="1171" spans="1:19" ht="30">
      <c r="A1171" s="1485" t="s">
        <v>713</v>
      </c>
      <c r="B1171" s="1626" t="s">
        <v>1487</v>
      </c>
      <c r="C1171" s="1487" t="s">
        <v>714</v>
      </c>
      <c r="D1171" s="1607">
        <v>1205</v>
      </c>
      <c r="E1171" s="1628" t="s">
        <v>1451</v>
      </c>
      <c r="F1171" s="757" t="s">
        <v>140</v>
      </c>
      <c r="G1171" s="412" t="s">
        <v>963</v>
      </c>
      <c r="H1171" s="422" t="s">
        <v>280</v>
      </c>
      <c r="I1171" s="756">
        <v>1</v>
      </c>
      <c r="J1171" s="756">
        <v>300000</v>
      </c>
      <c r="K1171" s="756">
        <f>I1171*J1171</f>
        <v>300000</v>
      </c>
      <c r="L1171" s="411">
        <f>K1171</f>
        <v>300000</v>
      </c>
      <c r="M1171" s="411">
        <v>0</v>
      </c>
      <c r="N1171" s="424">
        <v>0</v>
      </c>
      <c r="O1171" s="1484">
        <f>SUM(L1171:L1175)</f>
        <v>1159000</v>
      </c>
      <c r="P1171" s="1484">
        <f>O1171/D1171</f>
        <v>961.8257261410788</v>
      </c>
      <c r="Q1171" s="1572" t="s">
        <v>1656</v>
      </c>
    </row>
    <row r="1172" spans="1:19" ht="30">
      <c r="A1172" s="1679"/>
      <c r="B1172" s="1614"/>
      <c r="C1172" s="1590"/>
      <c r="D1172" s="1577"/>
      <c r="E1172" s="1628"/>
      <c r="F1172" s="762" t="s">
        <v>320</v>
      </c>
      <c r="G1172" s="329" t="s">
        <v>964</v>
      </c>
      <c r="H1172" s="807" t="s">
        <v>160</v>
      </c>
      <c r="I1172" s="776">
        <v>1000</v>
      </c>
      <c r="J1172" s="776">
        <f>'preturi unitare'!H23</f>
        <v>68</v>
      </c>
      <c r="K1172" s="776">
        <f>I1172*J1172</f>
        <v>68000</v>
      </c>
      <c r="L1172" s="334">
        <f>K1172</f>
        <v>68000</v>
      </c>
      <c r="M1172" s="334">
        <v>0</v>
      </c>
      <c r="N1172" s="377">
        <v>0</v>
      </c>
      <c r="O1172" s="1483"/>
      <c r="P1172" s="1483"/>
      <c r="Q1172" s="1636"/>
    </row>
    <row r="1173" spans="1:19" ht="30">
      <c r="A1173" s="1679"/>
      <c r="B1173" s="1614"/>
      <c r="C1173" s="1590"/>
      <c r="D1173" s="1577"/>
      <c r="E1173" s="1628"/>
      <c r="F1173" s="762" t="s">
        <v>321</v>
      </c>
      <c r="G1173" s="329" t="s">
        <v>965</v>
      </c>
      <c r="H1173" s="807" t="s">
        <v>280</v>
      </c>
      <c r="I1173" s="776">
        <v>1</v>
      </c>
      <c r="J1173" s="776">
        <f>'preturi unitare'!H5</f>
        <v>70000</v>
      </c>
      <c r="K1173" s="776">
        <f>I1173*J1173</f>
        <v>70000</v>
      </c>
      <c r="L1173" s="334">
        <f>K1173</f>
        <v>70000</v>
      </c>
      <c r="M1173" s="334">
        <v>0</v>
      </c>
      <c r="N1173" s="377">
        <v>0</v>
      </c>
      <c r="O1173" s="1483"/>
      <c r="P1173" s="1483"/>
      <c r="Q1173" s="1636"/>
    </row>
    <row r="1174" spans="1:19" ht="30">
      <c r="A1174" s="1679"/>
      <c r="B1174" s="1614"/>
      <c r="C1174" s="1590"/>
      <c r="D1174" s="1577"/>
      <c r="E1174" s="1628"/>
      <c r="F1174" s="762" t="s">
        <v>322</v>
      </c>
      <c r="G1174" s="362" t="s">
        <v>966</v>
      </c>
      <c r="H1174" s="807" t="s">
        <v>160</v>
      </c>
      <c r="I1174" s="776">
        <v>9500</v>
      </c>
      <c r="J1174" s="776">
        <f>J1172</f>
        <v>68</v>
      </c>
      <c r="K1174" s="776">
        <f>I1174*J1174</f>
        <v>646000</v>
      </c>
      <c r="L1174" s="334">
        <f>K1174</f>
        <v>646000</v>
      </c>
      <c r="M1174" s="334">
        <v>0</v>
      </c>
      <c r="N1174" s="377">
        <v>0</v>
      </c>
      <c r="O1174" s="1483"/>
      <c r="P1174" s="1483"/>
      <c r="Q1174" s="1636"/>
    </row>
    <row r="1175" spans="1:19" s="367" customFormat="1" ht="47.25">
      <c r="A1175" s="1679"/>
      <c r="B1175" s="1612"/>
      <c r="C1175" s="1590"/>
      <c r="D1175" s="1577"/>
      <c r="E1175" s="1607"/>
      <c r="F1175" s="775" t="s">
        <v>279</v>
      </c>
      <c r="G1175" s="329" t="s">
        <v>2103</v>
      </c>
      <c r="H1175" s="653" t="s">
        <v>280</v>
      </c>
      <c r="I1175" s="776">
        <v>1</v>
      </c>
      <c r="J1175" s="776">
        <f>'preturi unitare'!E25+'preturi unitare'!E6</f>
        <v>75000</v>
      </c>
      <c r="K1175" s="776">
        <f>I1175*J1175</f>
        <v>75000</v>
      </c>
      <c r="L1175" s="334">
        <f>K1175</f>
        <v>75000</v>
      </c>
      <c r="M1175" s="334">
        <v>0</v>
      </c>
      <c r="N1175" s="377">
        <v>0</v>
      </c>
      <c r="O1175" s="1483"/>
      <c r="P1175" s="1483"/>
      <c r="Q1175" s="1637"/>
    </row>
    <row r="1176" spans="1:19">
      <c r="A1176" s="820"/>
      <c r="B1176" s="326"/>
      <c r="C1176" s="326"/>
      <c r="D1176" s="326"/>
      <c r="E1176" s="326"/>
      <c r="F1176" s="326"/>
      <c r="G1176" s="326"/>
      <c r="H1176" s="326"/>
      <c r="I1176" s="776"/>
      <c r="J1176" s="776"/>
      <c r="K1176" s="776"/>
      <c r="L1176" s="334"/>
      <c r="M1176" s="334"/>
      <c r="N1176" s="326"/>
      <c r="O1176" s="777"/>
      <c r="P1176" s="777"/>
      <c r="Q1176" s="587"/>
    </row>
    <row r="1177" spans="1:19">
      <c r="A1177" s="1469" t="s">
        <v>578</v>
      </c>
      <c r="B1177" s="1470"/>
      <c r="C1177" s="1470"/>
      <c r="D1177" s="1470"/>
      <c r="E1177" s="1470"/>
      <c r="F1177" s="1470"/>
      <c r="G1177" s="1471"/>
      <c r="H1177" s="793"/>
      <c r="I1177" s="776"/>
      <c r="J1177" s="776"/>
      <c r="K1177" s="364">
        <f>SUM(K1171:K1175)</f>
        <v>1159000</v>
      </c>
      <c r="L1177" s="365">
        <f>SUM(L1171:L1175)</f>
        <v>1159000</v>
      </c>
      <c r="M1177" s="365">
        <f>SUM(M1171:M1175)</f>
        <v>0</v>
      </c>
      <c r="N1177" s="408">
        <f>SUM(N1171:N1175)</f>
        <v>0</v>
      </c>
      <c r="O1177" s="776"/>
      <c r="P1177" s="776"/>
      <c r="Q1177" s="587"/>
      <c r="S1177" s="629"/>
    </row>
    <row r="1178" spans="1:19" ht="15.75" thickBot="1">
      <c r="A1178" s="833"/>
      <c r="B1178" s="397"/>
      <c r="C1178" s="397"/>
      <c r="D1178" s="397"/>
      <c r="E1178" s="397"/>
      <c r="F1178" s="766"/>
      <c r="G1178" s="417"/>
      <c r="H1178" s="732"/>
      <c r="I1178" s="732"/>
      <c r="J1178" s="732"/>
      <c r="K1178" s="732"/>
      <c r="L1178" s="426"/>
      <c r="M1178" s="426"/>
      <c r="N1178" s="418"/>
      <c r="O1178" s="770"/>
      <c r="P1178" s="770"/>
      <c r="Q1178" s="857"/>
    </row>
    <row r="1179" spans="1:19" s="382" customFormat="1" ht="60" customHeight="1">
      <c r="A1179" s="1542" t="s">
        <v>632</v>
      </c>
      <c r="B1179" s="1544" t="s">
        <v>617</v>
      </c>
      <c r="C1179" s="1538" t="s">
        <v>610</v>
      </c>
      <c r="D1179" s="1538" t="s">
        <v>611</v>
      </c>
      <c r="E1179" s="1538" t="s">
        <v>1453</v>
      </c>
      <c r="F1179" s="1472" t="s">
        <v>159</v>
      </c>
      <c r="G1179" s="1509" t="s">
        <v>110</v>
      </c>
      <c r="H1179" s="1477" t="s">
        <v>316</v>
      </c>
      <c r="I1179" s="1472" t="s">
        <v>315</v>
      </c>
      <c r="J1179" s="1472" t="s">
        <v>317</v>
      </c>
      <c r="K1179" s="1472" t="s">
        <v>318</v>
      </c>
      <c r="L1179" s="569" t="s">
        <v>1443</v>
      </c>
      <c r="M1179" s="569" t="s">
        <v>1444</v>
      </c>
      <c r="N1179" s="752" t="s">
        <v>1445</v>
      </c>
      <c r="O1179" s="1477" t="s">
        <v>1673</v>
      </c>
      <c r="P1179" s="1477" t="s">
        <v>1307</v>
      </c>
      <c r="Q1179" s="1495" t="s">
        <v>1454</v>
      </c>
    </row>
    <row r="1180" spans="1:19" s="382" customFormat="1" ht="15.75" thickBot="1">
      <c r="A1180" s="1543"/>
      <c r="B1180" s="1545"/>
      <c r="C1180" s="1539"/>
      <c r="D1180" s="1539"/>
      <c r="E1180" s="1539"/>
      <c r="F1180" s="1473"/>
      <c r="G1180" s="1510"/>
      <c r="H1180" s="1478"/>
      <c r="I1180" s="1473"/>
      <c r="J1180" s="1473"/>
      <c r="K1180" s="1473"/>
      <c r="L1180" s="570" t="s">
        <v>805</v>
      </c>
      <c r="M1180" s="570" t="s">
        <v>805</v>
      </c>
      <c r="N1180" s="753" t="s">
        <v>1149</v>
      </c>
      <c r="O1180" s="1478"/>
      <c r="P1180" s="1478"/>
      <c r="Q1180" s="1496"/>
    </row>
    <row r="1181" spans="1:19" ht="64.5" customHeight="1">
      <c r="A1181" s="1678" t="s">
        <v>713</v>
      </c>
      <c r="B1181" s="1611" t="s">
        <v>1501</v>
      </c>
      <c r="C1181" s="781" t="s">
        <v>713</v>
      </c>
      <c r="D1181" s="769">
        <v>1764</v>
      </c>
      <c r="E1181" s="769">
        <f>D1181</f>
        <v>1764</v>
      </c>
      <c r="F1181" s="757" t="s">
        <v>325</v>
      </c>
      <c r="G1181" s="412" t="s">
        <v>402</v>
      </c>
      <c r="H1181" s="414" t="s">
        <v>160</v>
      </c>
      <c r="I1181" s="756">
        <v>2000</v>
      </c>
      <c r="J1181" s="756">
        <f>J1144</f>
        <v>154</v>
      </c>
      <c r="K1181" s="756">
        <f>I1181*J1181</f>
        <v>308000</v>
      </c>
      <c r="L1181" s="411">
        <v>0</v>
      </c>
      <c r="M1181" s="411">
        <f>K1181</f>
        <v>308000</v>
      </c>
      <c r="N1181" s="1024">
        <v>0</v>
      </c>
      <c r="O1181" s="756">
        <f>M1181</f>
        <v>308000</v>
      </c>
      <c r="P1181" s="756">
        <f>O1181/E1181</f>
        <v>174.60317460317461</v>
      </c>
      <c r="Q1181" s="981" t="s">
        <v>1726</v>
      </c>
    </row>
    <row r="1182" spans="1:19" ht="45">
      <c r="A1182" s="1679"/>
      <c r="B1182" s="1614"/>
      <c r="C1182" s="1488" t="s">
        <v>714</v>
      </c>
      <c r="D1182" s="1577">
        <f>D1171</f>
        <v>1205</v>
      </c>
      <c r="E1182" s="1629">
        <f>D1182</f>
        <v>1205</v>
      </c>
      <c r="F1182" s="762" t="s">
        <v>144</v>
      </c>
      <c r="G1182" s="362" t="s">
        <v>1964</v>
      </c>
      <c r="H1182" s="393" t="s">
        <v>160</v>
      </c>
      <c r="I1182" s="776">
        <v>6000</v>
      </c>
      <c r="J1182" s="776">
        <f>'preturi unitare'!H27</f>
        <v>158</v>
      </c>
      <c r="K1182" s="776">
        <f>I1182*J1182</f>
        <v>948000</v>
      </c>
      <c r="L1182" s="334">
        <v>0</v>
      </c>
      <c r="M1182" s="334">
        <f>K1182</f>
        <v>948000</v>
      </c>
      <c r="N1182" s="1025">
        <v>0</v>
      </c>
      <c r="O1182" s="1482">
        <f>SUM(M1182:M1183)</f>
        <v>1718000</v>
      </c>
      <c r="P1182" s="1482">
        <f>O1182/E1182</f>
        <v>1425.7261410788383</v>
      </c>
      <c r="Q1182" s="1581" t="s">
        <v>1727</v>
      </c>
    </row>
    <row r="1183" spans="1:19" ht="30">
      <c r="A1183" s="1679"/>
      <c r="B1183" s="1612"/>
      <c r="C1183" s="1488"/>
      <c r="D1183" s="1577"/>
      <c r="E1183" s="1598"/>
      <c r="F1183" s="762" t="s">
        <v>325</v>
      </c>
      <c r="G1183" s="362" t="s">
        <v>967</v>
      </c>
      <c r="H1183" s="807" t="s">
        <v>160</v>
      </c>
      <c r="I1183" s="776">
        <v>5000</v>
      </c>
      <c r="J1183" s="776">
        <f>J1181</f>
        <v>154</v>
      </c>
      <c r="K1183" s="776">
        <f>I1183*J1183</f>
        <v>770000</v>
      </c>
      <c r="L1183" s="334">
        <v>0</v>
      </c>
      <c r="M1183" s="334">
        <f>K1183</f>
        <v>770000</v>
      </c>
      <c r="N1183" s="1025">
        <v>0</v>
      </c>
      <c r="O1183" s="1482"/>
      <c r="P1183" s="1482"/>
      <c r="Q1183" s="1637"/>
    </row>
    <row r="1184" spans="1:19" s="378" customFormat="1">
      <c r="A1184" s="820"/>
      <c r="B1184" s="761"/>
      <c r="C1184" s="761"/>
      <c r="D1184" s="760"/>
      <c r="E1184" s="760"/>
      <c r="F1184" s="762"/>
      <c r="G1184" s="384"/>
      <c r="H1184" s="776"/>
      <c r="I1184" s="776"/>
      <c r="J1184" s="776"/>
      <c r="K1184" s="776"/>
      <c r="L1184" s="334"/>
      <c r="M1184" s="334"/>
      <c r="N1184" s="386"/>
      <c r="O1184" s="776"/>
      <c r="P1184" s="776"/>
      <c r="Q1184" s="587"/>
    </row>
    <row r="1185" spans="1:19">
      <c r="A1185" s="1532" t="s">
        <v>400</v>
      </c>
      <c r="B1185" s="1533"/>
      <c r="C1185" s="1533"/>
      <c r="D1185" s="1533"/>
      <c r="E1185" s="1533"/>
      <c r="F1185" s="1533"/>
      <c r="G1185" s="1534"/>
      <c r="H1185" s="364"/>
      <c r="I1185" s="364"/>
      <c r="J1185" s="364"/>
      <c r="K1185" s="364">
        <f>SUM(K1181:K1183)</f>
        <v>2026000</v>
      </c>
      <c r="L1185" s="365">
        <f>SUM(L1181:L1183)</f>
        <v>0</v>
      </c>
      <c r="M1185" s="365">
        <f>SUM(M1181:M1183)</f>
        <v>2026000</v>
      </c>
      <c r="N1185" s="364">
        <f>SUM(N1181:N1183)</f>
        <v>0</v>
      </c>
      <c r="O1185" s="776"/>
      <c r="P1185" s="776"/>
      <c r="Q1185" s="587"/>
    </row>
    <row r="1186" spans="1:19">
      <c r="A1186" s="820"/>
      <c r="B1186" s="782"/>
      <c r="C1186" s="782"/>
      <c r="D1186" s="782"/>
      <c r="E1186" s="782"/>
      <c r="F1186" s="762"/>
      <c r="G1186" s="328"/>
      <c r="H1186" s="776"/>
      <c r="I1186" s="776"/>
      <c r="J1186" s="776"/>
      <c r="K1186" s="364"/>
      <c r="L1186" s="365"/>
      <c r="M1186" s="365"/>
      <c r="N1186" s="364"/>
      <c r="O1186" s="776"/>
      <c r="P1186" s="776"/>
      <c r="Q1186" s="587"/>
    </row>
    <row r="1187" spans="1:19" ht="15.75" customHeight="1" thickBot="1">
      <c r="A1187" s="1474" t="s">
        <v>401</v>
      </c>
      <c r="B1187" s="1475"/>
      <c r="C1187" s="1475"/>
      <c r="D1187" s="1475"/>
      <c r="E1187" s="1475"/>
      <c r="F1187" s="1475"/>
      <c r="G1187" s="1476"/>
      <c r="H1187" s="581"/>
      <c r="I1187" s="581"/>
      <c r="J1187" s="581"/>
      <c r="K1187" s="582">
        <f>K1177+K1185</f>
        <v>3185000</v>
      </c>
      <c r="L1187" s="583">
        <f>L1177+L1185</f>
        <v>1159000</v>
      </c>
      <c r="M1187" s="583">
        <f>M1185+M1177</f>
        <v>2026000</v>
      </c>
      <c r="N1187" s="582">
        <f>N1185+N1177</f>
        <v>0</v>
      </c>
      <c r="O1187" s="581"/>
      <c r="P1187" s="581"/>
      <c r="Q1187" s="816"/>
    </row>
    <row r="1188" spans="1:19" ht="15.75" thickBot="1">
      <c r="A1188" s="586"/>
      <c r="B1188" s="871"/>
      <c r="C1188" s="871"/>
      <c r="D1188" s="871"/>
      <c r="E1188" s="871"/>
      <c r="F1188" s="595"/>
      <c r="G1188" s="595"/>
      <c r="H1188" s="716"/>
      <c r="I1188" s="716"/>
      <c r="J1188" s="716"/>
      <c r="K1188" s="626"/>
      <c r="L1188" s="592"/>
      <c r="M1188" s="592"/>
      <c r="N1188" s="626"/>
      <c r="O1188" s="771"/>
      <c r="P1188" s="771"/>
      <c r="Q1188" s="586"/>
    </row>
    <row r="1189" spans="1:19" ht="15.75" thickBot="1">
      <c r="A1189" s="859"/>
      <c r="B1189" s="638"/>
      <c r="C1189" s="638"/>
      <c r="D1189" s="638"/>
      <c r="E1189" s="638"/>
      <c r="F1189" s="846"/>
      <c r="G1189" s="577" t="s">
        <v>1922</v>
      </c>
      <c r="H1189" s="872"/>
      <c r="I1189" s="873"/>
      <c r="J1189" s="641"/>
      <c r="K1189" s="638"/>
      <c r="L1189" s="845"/>
      <c r="M1189" s="845"/>
      <c r="N1189" s="638"/>
      <c r="O1189" s="841"/>
      <c r="P1189" s="841"/>
      <c r="Q1189" s="642"/>
    </row>
    <row r="1190" spans="1:19" ht="15.75" thickBot="1">
      <c r="A1190" s="833"/>
      <c r="B1190" s="421"/>
      <c r="C1190" s="421"/>
      <c r="D1190" s="421"/>
      <c r="E1190" s="421"/>
      <c r="F1190" s="356"/>
      <c r="G1190" s="585"/>
      <c r="H1190" s="371"/>
      <c r="I1190" s="371"/>
      <c r="J1190" s="371"/>
      <c r="K1190" s="371"/>
      <c r="L1190" s="372"/>
      <c r="M1190" s="372"/>
      <c r="N1190" s="371"/>
      <c r="O1190" s="770"/>
      <c r="P1190" s="770"/>
      <c r="Q1190" s="857"/>
    </row>
    <row r="1191" spans="1:19" ht="60" customHeight="1">
      <c r="A1191" s="1562" t="s">
        <v>1452</v>
      </c>
      <c r="B1191" s="1538" t="s">
        <v>676</v>
      </c>
      <c r="C1191" s="1564" t="s">
        <v>610</v>
      </c>
      <c r="D1191" s="1538" t="s">
        <v>611</v>
      </c>
      <c r="E1191" s="1538" t="s">
        <v>1453</v>
      </c>
      <c r="F1191" s="1472" t="s">
        <v>159</v>
      </c>
      <c r="G1191" s="1509" t="s">
        <v>110</v>
      </c>
      <c r="H1191" s="1477" t="s">
        <v>316</v>
      </c>
      <c r="I1191" s="1472" t="s">
        <v>315</v>
      </c>
      <c r="J1191" s="1472" t="s">
        <v>317</v>
      </c>
      <c r="K1191" s="1472" t="s">
        <v>318</v>
      </c>
      <c r="L1191" s="569" t="s">
        <v>1443</v>
      </c>
      <c r="M1191" s="569" t="s">
        <v>1444</v>
      </c>
      <c r="N1191" s="752" t="s">
        <v>1445</v>
      </c>
      <c r="O1191" s="1477" t="s">
        <v>1673</v>
      </c>
      <c r="P1191" s="1477" t="s">
        <v>1307</v>
      </c>
      <c r="Q1191" s="1495" t="s">
        <v>1454</v>
      </c>
    </row>
    <row r="1192" spans="1:19" ht="15.75" thickBot="1">
      <c r="A1192" s="1563"/>
      <c r="B1192" s="1539"/>
      <c r="C1192" s="1565"/>
      <c r="D1192" s="1539"/>
      <c r="E1192" s="1539"/>
      <c r="F1192" s="1473"/>
      <c r="G1192" s="1510"/>
      <c r="H1192" s="1478"/>
      <c r="I1192" s="1473"/>
      <c r="J1192" s="1473"/>
      <c r="K1192" s="1473"/>
      <c r="L1192" s="570" t="s">
        <v>805</v>
      </c>
      <c r="M1192" s="570" t="s">
        <v>805</v>
      </c>
      <c r="N1192" s="753" t="s">
        <v>1149</v>
      </c>
      <c r="O1192" s="1478"/>
      <c r="P1192" s="1478"/>
      <c r="Q1192" s="1496"/>
    </row>
    <row r="1193" spans="1:19" ht="75.75" customHeight="1">
      <c r="A1193" s="909" t="s">
        <v>715</v>
      </c>
      <c r="B1193" s="765" t="s">
        <v>1502</v>
      </c>
      <c r="C1193" s="759" t="s">
        <v>715</v>
      </c>
      <c r="D1193" s="758">
        <v>3229</v>
      </c>
      <c r="E1193" s="758" t="s">
        <v>1451</v>
      </c>
      <c r="F1193" s="757" t="s">
        <v>322</v>
      </c>
      <c r="G1193" s="412" t="s">
        <v>550</v>
      </c>
      <c r="H1193" s="414" t="s">
        <v>160</v>
      </c>
      <c r="I1193" s="756">
        <v>3500</v>
      </c>
      <c r="J1193" s="756">
        <f>'preturi unitare'!H22</f>
        <v>64</v>
      </c>
      <c r="K1193" s="756">
        <f>I1193*J1193</f>
        <v>224000</v>
      </c>
      <c r="L1193" s="411">
        <f>K1193</f>
        <v>224000</v>
      </c>
      <c r="M1193" s="411">
        <v>0</v>
      </c>
      <c r="N1193" s="756">
        <v>0</v>
      </c>
      <c r="O1193" s="756">
        <f>L1193</f>
        <v>224000</v>
      </c>
      <c r="P1193" s="756">
        <f>O1193/D1193</f>
        <v>69.371322390833072</v>
      </c>
      <c r="Q1193" s="967" t="s">
        <v>1657</v>
      </c>
    </row>
    <row r="1194" spans="1:19">
      <c r="A1194" s="820"/>
      <c r="B1194" s="326"/>
      <c r="C1194" s="326"/>
      <c r="D1194" s="326"/>
      <c r="E1194" s="326"/>
      <c r="F1194" s="326"/>
      <c r="G1194" s="326"/>
      <c r="H1194" s="326"/>
      <c r="I1194" s="776"/>
      <c r="J1194" s="776"/>
      <c r="K1194" s="776"/>
      <c r="L1194" s="334"/>
      <c r="M1194" s="334"/>
      <c r="N1194" s="326"/>
      <c r="O1194" s="776"/>
      <c r="P1194" s="776"/>
      <c r="Q1194" s="587"/>
    </row>
    <row r="1195" spans="1:19">
      <c r="A1195" s="1469" t="s">
        <v>579</v>
      </c>
      <c r="B1195" s="1470"/>
      <c r="C1195" s="1470"/>
      <c r="D1195" s="1470"/>
      <c r="E1195" s="1470"/>
      <c r="F1195" s="1470"/>
      <c r="G1195" s="1471"/>
      <c r="H1195" s="793"/>
      <c r="I1195" s="776"/>
      <c r="J1195" s="776"/>
      <c r="K1195" s="364">
        <f>SUM(K1193:K1194)</f>
        <v>224000</v>
      </c>
      <c r="L1195" s="365">
        <f>SUM(L1193:L1194)</f>
        <v>224000</v>
      </c>
      <c r="M1195" s="365">
        <f>M1193</f>
        <v>0</v>
      </c>
      <c r="N1195" s="408">
        <f>SUM(N1193:N1194)</f>
        <v>0</v>
      </c>
      <c r="O1195" s="776"/>
      <c r="P1195" s="776"/>
      <c r="Q1195" s="587"/>
      <c r="S1195" s="629"/>
    </row>
    <row r="1196" spans="1:19" ht="15.75" thickBot="1">
      <c r="A1196" s="833"/>
      <c r="B1196" s="397"/>
      <c r="C1196" s="397"/>
      <c r="D1196" s="397"/>
      <c r="E1196" s="397"/>
      <c r="F1196" s="766"/>
      <c r="G1196" s="417"/>
      <c r="H1196" s="732"/>
      <c r="I1196" s="732"/>
      <c r="J1196" s="732"/>
      <c r="K1196" s="732"/>
      <c r="L1196" s="426"/>
      <c r="M1196" s="426"/>
      <c r="N1196" s="418"/>
      <c r="O1196" s="770"/>
      <c r="P1196" s="770"/>
      <c r="Q1196" s="857"/>
    </row>
    <row r="1197" spans="1:19" s="382" customFormat="1" ht="60" customHeight="1">
      <c r="A1197" s="1542" t="s">
        <v>632</v>
      </c>
      <c r="B1197" s="1544" t="s">
        <v>617</v>
      </c>
      <c r="C1197" s="1538" t="s">
        <v>610</v>
      </c>
      <c r="D1197" s="1538" t="s">
        <v>611</v>
      </c>
      <c r="E1197" s="1538" t="s">
        <v>1453</v>
      </c>
      <c r="F1197" s="1472" t="s">
        <v>159</v>
      </c>
      <c r="G1197" s="1509" t="s">
        <v>110</v>
      </c>
      <c r="H1197" s="1477" t="s">
        <v>316</v>
      </c>
      <c r="I1197" s="1472" t="s">
        <v>315</v>
      </c>
      <c r="J1197" s="1472" t="s">
        <v>317</v>
      </c>
      <c r="K1197" s="1472" t="s">
        <v>318</v>
      </c>
      <c r="L1197" s="569" t="s">
        <v>1443</v>
      </c>
      <c r="M1197" s="569" t="s">
        <v>1444</v>
      </c>
      <c r="N1197" s="752" t="s">
        <v>1445</v>
      </c>
      <c r="O1197" s="1477" t="s">
        <v>1673</v>
      </c>
      <c r="P1197" s="1477" t="s">
        <v>1307</v>
      </c>
      <c r="Q1197" s="1495" t="s">
        <v>1454</v>
      </c>
    </row>
    <row r="1198" spans="1:19" s="382" customFormat="1" ht="15.75" thickBot="1">
      <c r="A1198" s="1543"/>
      <c r="B1198" s="1545"/>
      <c r="C1198" s="1539"/>
      <c r="D1198" s="1539"/>
      <c r="E1198" s="1539"/>
      <c r="F1198" s="1473"/>
      <c r="G1198" s="1510"/>
      <c r="H1198" s="1478"/>
      <c r="I1198" s="1473"/>
      <c r="J1198" s="1473"/>
      <c r="K1198" s="1473"/>
      <c r="L1198" s="570" t="s">
        <v>805</v>
      </c>
      <c r="M1198" s="570" t="s">
        <v>805</v>
      </c>
      <c r="N1198" s="753" t="s">
        <v>1149</v>
      </c>
      <c r="O1198" s="1478"/>
      <c r="P1198" s="1478"/>
      <c r="Q1198" s="1496"/>
    </row>
    <row r="1199" spans="1:19" ht="76.5" customHeight="1">
      <c r="A1199" s="909" t="s">
        <v>715</v>
      </c>
      <c r="B1199" s="765" t="s">
        <v>1503</v>
      </c>
      <c r="C1199" s="759" t="s">
        <v>715</v>
      </c>
      <c r="D1199" s="758">
        <f>D1193</f>
        <v>3229</v>
      </c>
      <c r="E1199" s="758">
        <f>1.1*D1199</f>
        <v>3551.9</v>
      </c>
      <c r="F1199" s="757" t="s">
        <v>325</v>
      </c>
      <c r="G1199" s="412" t="s">
        <v>551</v>
      </c>
      <c r="H1199" s="414" t="s">
        <v>160</v>
      </c>
      <c r="I1199" s="756">
        <v>3000</v>
      </c>
      <c r="J1199" s="756">
        <f>'preturi unitare'!H40</f>
        <v>154</v>
      </c>
      <c r="K1199" s="756">
        <f>I1199*J1199</f>
        <v>462000</v>
      </c>
      <c r="L1199" s="411">
        <f>K1199</f>
        <v>462000</v>
      </c>
      <c r="M1199" s="411">
        <v>0</v>
      </c>
      <c r="N1199" s="756">
        <v>0</v>
      </c>
      <c r="O1199" s="756">
        <f>L1199</f>
        <v>462000</v>
      </c>
      <c r="P1199" s="756">
        <f>O1199/D1199</f>
        <v>143.07835243109321</v>
      </c>
      <c r="Q1199" s="968" t="s">
        <v>1658</v>
      </c>
    </row>
    <row r="1200" spans="1:19" s="378" customFormat="1">
      <c r="A1200" s="820"/>
      <c r="B1200" s="761"/>
      <c r="C1200" s="761"/>
      <c r="D1200" s="761"/>
      <c r="E1200" s="761"/>
      <c r="F1200" s="762"/>
      <c r="G1200" s="384"/>
      <c r="H1200" s="776"/>
      <c r="I1200" s="776"/>
      <c r="J1200" s="776"/>
      <c r="K1200" s="776"/>
      <c r="L1200" s="334"/>
      <c r="M1200" s="334"/>
      <c r="N1200" s="326"/>
      <c r="O1200" s="777"/>
      <c r="P1200" s="777"/>
      <c r="Q1200" s="587"/>
    </row>
    <row r="1201" spans="1:17">
      <c r="A1201" s="1532" t="s">
        <v>403</v>
      </c>
      <c r="B1201" s="1533"/>
      <c r="C1201" s="1533"/>
      <c r="D1201" s="1533"/>
      <c r="E1201" s="1533"/>
      <c r="F1201" s="1533"/>
      <c r="G1201" s="1534"/>
      <c r="H1201" s="364"/>
      <c r="I1201" s="364"/>
      <c r="J1201" s="364"/>
      <c r="K1201" s="364">
        <f>K1199</f>
        <v>462000</v>
      </c>
      <c r="L1201" s="365">
        <f>L1199</f>
        <v>462000</v>
      </c>
      <c r="M1201" s="365">
        <f>M1199</f>
        <v>0</v>
      </c>
      <c r="N1201" s="364">
        <f>N1199</f>
        <v>0</v>
      </c>
      <c r="O1201" s="776"/>
      <c r="P1201" s="776"/>
      <c r="Q1201" s="587"/>
    </row>
    <row r="1202" spans="1:17">
      <c r="A1202" s="820"/>
      <c r="B1202" s="782"/>
      <c r="C1202" s="782"/>
      <c r="D1202" s="782"/>
      <c r="E1202" s="782"/>
      <c r="F1202" s="762"/>
      <c r="G1202" s="328"/>
      <c r="H1202" s="776"/>
      <c r="I1202" s="776"/>
      <c r="J1202" s="776"/>
      <c r="K1202" s="776"/>
      <c r="L1202" s="334"/>
      <c r="M1202" s="334"/>
      <c r="N1202" s="776"/>
      <c r="O1202" s="776"/>
      <c r="P1202" s="776"/>
      <c r="Q1202" s="587"/>
    </row>
    <row r="1203" spans="1:17" ht="15.75" customHeight="1" thickBot="1">
      <c r="A1203" s="1474" t="s">
        <v>404</v>
      </c>
      <c r="B1203" s="1475"/>
      <c r="C1203" s="1475"/>
      <c r="D1203" s="1475"/>
      <c r="E1203" s="1475"/>
      <c r="F1203" s="1475"/>
      <c r="G1203" s="1476"/>
      <c r="H1203" s="581"/>
      <c r="I1203" s="581"/>
      <c r="J1203" s="581"/>
      <c r="K1203" s="582">
        <f>K1195+K1201</f>
        <v>686000</v>
      </c>
      <c r="L1203" s="583">
        <f>L1195+L1201</f>
        <v>686000</v>
      </c>
      <c r="M1203" s="583">
        <f>M1195+M1201</f>
        <v>0</v>
      </c>
      <c r="N1203" s="582">
        <f>N1195+N1201</f>
        <v>0</v>
      </c>
      <c r="O1203" s="581"/>
      <c r="P1203" s="581"/>
      <c r="Q1203" s="816"/>
    </row>
    <row r="1204" spans="1:17" ht="15.75" thickBot="1">
      <c r="A1204" s="586"/>
      <c r="B1204" s="871"/>
      <c r="C1204" s="871"/>
      <c r="D1204" s="871"/>
      <c r="E1204" s="871"/>
      <c r="F1204" s="595"/>
      <c r="G1204" s="595"/>
      <c r="H1204" s="716"/>
      <c r="I1204" s="716"/>
      <c r="J1204" s="716"/>
      <c r="K1204" s="626"/>
      <c r="L1204" s="592"/>
      <c r="M1204" s="592"/>
      <c r="N1204" s="626"/>
      <c r="O1204" s="771"/>
      <c r="P1204" s="771"/>
      <c r="Q1204" s="586"/>
    </row>
    <row r="1205" spans="1:17" ht="15.75" thickBot="1">
      <c r="A1205" s="859"/>
      <c r="B1205" s="639"/>
      <c r="C1205" s="639"/>
      <c r="D1205" s="639"/>
      <c r="E1205" s="639"/>
      <c r="F1205" s="846"/>
      <c r="G1205" s="577" t="s">
        <v>1923</v>
      </c>
      <c r="H1205" s="872"/>
      <c r="I1205" s="873"/>
      <c r="J1205" s="641"/>
      <c r="K1205" s="639"/>
      <c r="L1205" s="640"/>
      <c r="M1205" s="640"/>
      <c r="N1205" s="639"/>
      <c r="O1205" s="841"/>
      <c r="P1205" s="841"/>
      <c r="Q1205" s="642"/>
    </row>
    <row r="1206" spans="1:17" ht="15.75" thickBot="1">
      <c r="A1206" s="820"/>
      <c r="B1206" s="796"/>
      <c r="C1206" s="796"/>
      <c r="D1206" s="796"/>
      <c r="E1206" s="796"/>
      <c r="F1206" s="327"/>
      <c r="G1206" s="880"/>
      <c r="H1206" s="336"/>
      <c r="I1206" s="336"/>
      <c r="J1206" s="336"/>
      <c r="K1206" s="336"/>
      <c r="L1206" s="332"/>
      <c r="M1206" s="332"/>
      <c r="N1206" s="336"/>
      <c r="O1206" s="777"/>
      <c r="P1206" s="777"/>
      <c r="Q1206" s="587"/>
    </row>
    <row r="1207" spans="1:17" s="382" customFormat="1" ht="60">
      <c r="A1207" s="1562" t="s">
        <v>1452</v>
      </c>
      <c r="B1207" s="1538" t="s">
        <v>676</v>
      </c>
      <c r="C1207" s="1564" t="s">
        <v>610</v>
      </c>
      <c r="D1207" s="1538" t="s">
        <v>611</v>
      </c>
      <c r="E1207" s="1538" t="s">
        <v>1453</v>
      </c>
      <c r="F1207" s="1472" t="s">
        <v>159</v>
      </c>
      <c r="G1207" s="1509" t="s">
        <v>110</v>
      </c>
      <c r="H1207" s="1477" t="s">
        <v>316</v>
      </c>
      <c r="I1207" s="1472" t="s">
        <v>315</v>
      </c>
      <c r="J1207" s="1472" t="s">
        <v>317</v>
      </c>
      <c r="K1207" s="1472" t="s">
        <v>318</v>
      </c>
      <c r="L1207" s="569" t="s">
        <v>1443</v>
      </c>
      <c r="M1207" s="569" t="s">
        <v>1444</v>
      </c>
      <c r="N1207" s="1038" t="s">
        <v>1445</v>
      </c>
      <c r="O1207" s="1477" t="s">
        <v>1673</v>
      </c>
      <c r="P1207" s="1477" t="s">
        <v>1307</v>
      </c>
      <c r="Q1207" s="1495" t="s">
        <v>1454</v>
      </c>
    </row>
    <row r="1208" spans="1:17" s="382" customFormat="1" ht="15.75" thickBot="1">
      <c r="A1208" s="1563"/>
      <c r="B1208" s="1539"/>
      <c r="C1208" s="1565"/>
      <c r="D1208" s="1539"/>
      <c r="E1208" s="1539"/>
      <c r="F1208" s="1473"/>
      <c r="G1208" s="1510"/>
      <c r="H1208" s="1478"/>
      <c r="I1208" s="1473"/>
      <c r="J1208" s="1473"/>
      <c r="K1208" s="1473"/>
      <c r="L1208" s="570" t="s">
        <v>805</v>
      </c>
      <c r="M1208" s="570" t="s">
        <v>805</v>
      </c>
      <c r="N1208" s="1039" t="s">
        <v>1149</v>
      </c>
      <c r="O1208" s="1478"/>
      <c r="P1208" s="1478"/>
      <c r="Q1208" s="1496"/>
    </row>
    <row r="1209" spans="1:17" s="373" customFormat="1" ht="45">
      <c r="A1209" s="1793" t="s">
        <v>727</v>
      </c>
      <c r="B1209" s="1613" t="s">
        <v>653</v>
      </c>
      <c r="C1209" s="1584" t="s">
        <v>727</v>
      </c>
      <c r="D1209" s="1781">
        <v>1269</v>
      </c>
      <c r="E1209" s="1584" t="s">
        <v>1451</v>
      </c>
      <c r="F1209" s="1109" t="s">
        <v>320</v>
      </c>
      <c r="G1209" s="1110" t="s">
        <v>2065</v>
      </c>
      <c r="H1209" s="1111" t="s">
        <v>160</v>
      </c>
      <c r="I1209" s="1241">
        <v>2190</v>
      </c>
      <c r="J1209" s="1263">
        <f>'preturi unitare'!H25</f>
        <v>94</v>
      </c>
      <c r="K1209" s="1240">
        <f>I1209*J1209</f>
        <v>205860</v>
      </c>
      <c r="L1209" s="1264">
        <v>0</v>
      </c>
      <c r="M1209" s="1086">
        <f>K1209</f>
        <v>205860</v>
      </c>
      <c r="N1209" s="1243">
        <v>0</v>
      </c>
      <c r="O1209" s="1779">
        <f>SUM(M1209:M1211)</f>
        <v>982510</v>
      </c>
      <c r="P1209" s="1779">
        <f>O1209/D1209</f>
        <v>774.23955870764382</v>
      </c>
      <c r="Q1209" s="1842" t="s">
        <v>2063</v>
      </c>
    </row>
    <row r="1210" spans="1:17" s="373" customFormat="1" ht="30">
      <c r="A1210" s="1794"/>
      <c r="B1210" s="1614"/>
      <c r="C1210" s="1585"/>
      <c r="D1210" s="1782"/>
      <c r="E1210" s="1585"/>
      <c r="F1210" s="1603" t="s">
        <v>322</v>
      </c>
      <c r="G1210" s="403" t="s">
        <v>1770</v>
      </c>
      <c r="H1210" s="395" t="s">
        <v>160</v>
      </c>
      <c r="I1210" s="1238">
        <v>5475</v>
      </c>
      <c r="J1210" s="1244">
        <f>'preturi unitare'!H22</f>
        <v>64</v>
      </c>
      <c r="K1210" s="1239">
        <f>I1210*J1210</f>
        <v>350400</v>
      </c>
      <c r="L1210" s="1265">
        <v>0</v>
      </c>
      <c r="M1210" s="401">
        <f>K1210</f>
        <v>350400</v>
      </c>
      <c r="N1210" s="1244">
        <v>0</v>
      </c>
      <c r="O1210" s="1780"/>
      <c r="P1210" s="1780"/>
      <c r="Q1210" s="1843"/>
    </row>
    <row r="1211" spans="1:17" s="373" customFormat="1" ht="30">
      <c r="A1211" s="1794"/>
      <c r="B1211" s="1614"/>
      <c r="C1211" s="1586"/>
      <c r="D1211" s="1783"/>
      <c r="E1211" s="1586"/>
      <c r="F1211" s="1605"/>
      <c r="G1211" s="403" t="s">
        <v>2066</v>
      </c>
      <c r="H1211" s="395" t="s">
        <v>160</v>
      </c>
      <c r="I1211" s="1238">
        <v>7750</v>
      </c>
      <c r="J1211" s="1244">
        <v>55</v>
      </c>
      <c r="K1211" s="1239">
        <f>I1211*J1211</f>
        <v>426250</v>
      </c>
      <c r="L1211" s="1265">
        <v>0</v>
      </c>
      <c r="M1211" s="401">
        <f>K1211</f>
        <v>426250</v>
      </c>
      <c r="N1211" s="1244">
        <v>0</v>
      </c>
      <c r="O1211" s="1512"/>
      <c r="P1211" s="1512"/>
      <c r="Q1211" s="1262"/>
    </row>
    <row r="1212" spans="1:17" s="382" customFormat="1" ht="30">
      <c r="A1212" s="1794"/>
      <c r="B1212" s="1614"/>
      <c r="C1212" s="1796" t="s">
        <v>2045</v>
      </c>
      <c r="D1212" s="1797">
        <f>1001+222</f>
        <v>1223</v>
      </c>
      <c r="E1212" s="1778" t="s">
        <v>1451</v>
      </c>
      <c r="F1212" s="1254" t="s">
        <v>320</v>
      </c>
      <c r="G1212" s="400" t="s">
        <v>1771</v>
      </c>
      <c r="H1212" s="395" t="s">
        <v>160</v>
      </c>
      <c r="I1212" s="1238">
        <v>12000</v>
      </c>
      <c r="J1212" s="1238">
        <f>'preturi unitare'!H25</f>
        <v>94</v>
      </c>
      <c r="K1212" s="1238">
        <f>I1212*J1212</f>
        <v>1128000</v>
      </c>
      <c r="L1212" s="334">
        <f>K1212</f>
        <v>1128000</v>
      </c>
      <c r="M1212" s="333">
        <v>0</v>
      </c>
      <c r="N1212" s="1237">
        <v>0</v>
      </c>
      <c r="O1212" s="1483">
        <f>SUM(L1212:L1215)</f>
        <v>1865000</v>
      </c>
      <c r="P1212" s="1483">
        <f>L1217/D1212</f>
        <v>1524.9386753883891</v>
      </c>
      <c r="Q1212" s="1822" t="s">
        <v>2049</v>
      </c>
    </row>
    <row r="1213" spans="1:17" s="382" customFormat="1" ht="30">
      <c r="A1213" s="1794"/>
      <c r="B1213" s="1614"/>
      <c r="C1213" s="1796"/>
      <c r="D1213" s="1797"/>
      <c r="E1213" s="1778"/>
      <c r="F1213" s="1254" t="s">
        <v>321</v>
      </c>
      <c r="G1213" s="400" t="s">
        <v>1772</v>
      </c>
      <c r="H1213" s="395" t="s">
        <v>280</v>
      </c>
      <c r="I1213" s="1238">
        <v>2</v>
      </c>
      <c r="J1213" s="1237">
        <f>'preturi unitare'!H5</f>
        <v>70000</v>
      </c>
      <c r="K1213" s="1237">
        <f t="shared" ref="K1213:K1215" si="96">I1213*J1213</f>
        <v>140000</v>
      </c>
      <c r="L1213" s="333">
        <f>K1213</f>
        <v>140000</v>
      </c>
      <c r="M1213" s="333">
        <v>0</v>
      </c>
      <c r="N1213" s="1237">
        <v>0</v>
      </c>
      <c r="O1213" s="1483"/>
      <c r="P1213" s="1483"/>
      <c r="Q1213" s="1823"/>
    </row>
    <row r="1214" spans="1:17" s="382" customFormat="1" ht="30">
      <c r="A1214" s="1794"/>
      <c r="B1214" s="1614"/>
      <c r="C1214" s="1796"/>
      <c r="D1214" s="1797"/>
      <c r="E1214" s="1778"/>
      <c r="F1214" s="1254" t="s">
        <v>322</v>
      </c>
      <c r="G1214" s="403" t="s">
        <v>2064</v>
      </c>
      <c r="H1214" s="395" t="s">
        <v>160</v>
      </c>
      <c r="I1214" s="1238">
        <v>8000</v>
      </c>
      <c r="J1214" s="1237">
        <f>'preturi unitare'!H22</f>
        <v>64</v>
      </c>
      <c r="K1214" s="1237">
        <f t="shared" si="96"/>
        <v>512000</v>
      </c>
      <c r="L1214" s="333">
        <f>K1214</f>
        <v>512000</v>
      </c>
      <c r="M1214" s="333">
        <v>0</v>
      </c>
      <c r="N1214" s="1237">
        <v>0</v>
      </c>
      <c r="O1214" s="1483"/>
      <c r="P1214" s="1483"/>
      <c r="Q1214" s="1823"/>
    </row>
    <row r="1215" spans="1:17" s="382" customFormat="1" ht="32.25">
      <c r="A1215" s="1795"/>
      <c r="B1215" s="1612"/>
      <c r="C1215" s="1796"/>
      <c r="D1215" s="1797"/>
      <c r="E1215" s="1778"/>
      <c r="F1215" s="1254" t="s">
        <v>279</v>
      </c>
      <c r="G1215" s="400" t="s">
        <v>1773</v>
      </c>
      <c r="H1215" s="1251" t="s">
        <v>280</v>
      </c>
      <c r="I1215" s="1238">
        <v>1</v>
      </c>
      <c r="J1215" s="1237">
        <f>'preturi unitare'!E27+'preturi unitare'!E6</f>
        <v>85000</v>
      </c>
      <c r="K1215" s="1237">
        <f t="shared" si="96"/>
        <v>85000</v>
      </c>
      <c r="L1215" s="333">
        <f>K1215</f>
        <v>85000</v>
      </c>
      <c r="M1215" s="333">
        <v>0</v>
      </c>
      <c r="N1215" s="1237">
        <v>0</v>
      </c>
      <c r="O1215" s="1483"/>
      <c r="P1215" s="1483"/>
      <c r="Q1215" s="1823"/>
    </row>
    <row r="1216" spans="1:17" s="382" customFormat="1">
      <c r="A1216" s="1113"/>
      <c r="B1216" s="1114"/>
      <c r="C1216" s="1114"/>
      <c r="D1216" s="1114"/>
      <c r="E1216" s="1114"/>
      <c r="F1216" s="1035"/>
      <c r="G1216" s="329"/>
      <c r="H1216" s="807"/>
      <c r="I1216" s="1043"/>
      <c r="J1216" s="1044"/>
      <c r="K1216" s="1044"/>
      <c r="L1216" s="333"/>
      <c r="M1216" s="333"/>
      <c r="N1216" s="1050"/>
      <c r="O1216" s="1050"/>
      <c r="P1216" s="1050"/>
      <c r="Q1216" s="857"/>
    </row>
    <row r="1217" spans="1:17" s="382" customFormat="1">
      <c r="A1217" s="1469" t="s">
        <v>1774</v>
      </c>
      <c r="B1217" s="1470"/>
      <c r="C1217" s="1470"/>
      <c r="D1217" s="1470"/>
      <c r="E1217" s="1470"/>
      <c r="F1217" s="1470"/>
      <c r="G1217" s="1471"/>
      <c r="H1217" s="793"/>
      <c r="I1217" s="1043"/>
      <c r="J1217" s="1043"/>
      <c r="K1217" s="364">
        <f>SUM(K1209:K1215)</f>
        <v>2847510</v>
      </c>
      <c r="L1217" s="365">
        <f>SUM(L1209:L1215)</f>
        <v>1865000</v>
      </c>
      <c r="M1217" s="365">
        <f>SUM(M1209:M1215)</f>
        <v>982510</v>
      </c>
      <c r="N1217" s="408">
        <f>SUM(N1209:N1215)</f>
        <v>0</v>
      </c>
      <c r="O1217" s="1043"/>
      <c r="P1217" s="1043"/>
      <c r="Q1217" s="587"/>
    </row>
    <row r="1218" spans="1:17" ht="15.75" thickBot="1">
      <c r="A1218" s="833"/>
      <c r="B1218" s="397"/>
      <c r="C1218" s="397"/>
      <c r="D1218" s="397"/>
      <c r="E1218" s="397"/>
      <c r="F1218" s="766"/>
      <c r="G1218" s="417"/>
      <c r="H1218" s="732"/>
      <c r="I1218" s="732"/>
      <c r="J1218" s="732"/>
      <c r="K1218" s="732"/>
      <c r="L1218" s="426"/>
      <c r="M1218" s="426"/>
      <c r="N1218" s="418"/>
      <c r="O1218" s="770"/>
      <c r="P1218" s="770"/>
      <c r="Q1218" s="857"/>
    </row>
    <row r="1219" spans="1:17" s="382" customFormat="1" ht="60" customHeight="1">
      <c r="A1219" s="1542" t="s">
        <v>632</v>
      </c>
      <c r="B1219" s="1544" t="s">
        <v>617</v>
      </c>
      <c r="C1219" s="1538" t="s">
        <v>610</v>
      </c>
      <c r="D1219" s="1538" t="s">
        <v>611</v>
      </c>
      <c r="E1219" s="1538" t="s">
        <v>1453</v>
      </c>
      <c r="F1219" s="1472" t="s">
        <v>159</v>
      </c>
      <c r="G1219" s="1509" t="s">
        <v>110</v>
      </c>
      <c r="H1219" s="1477" t="s">
        <v>316</v>
      </c>
      <c r="I1219" s="1472" t="s">
        <v>315</v>
      </c>
      <c r="J1219" s="1472" t="s">
        <v>317</v>
      </c>
      <c r="K1219" s="1472" t="s">
        <v>318</v>
      </c>
      <c r="L1219" s="569" t="s">
        <v>1443</v>
      </c>
      <c r="M1219" s="569" t="s">
        <v>1444</v>
      </c>
      <c r="N1219" s="752" t="s">
        <v>1445</v>
      </c>
      <c r="O1219" s="1477" t="s">
        <v>1673</v>
      </c>
      <c r="P1219" s="1477" t="s">
        <v>1307</v>
      </c>
      <c r="Q1219" s="1495" t="s">
        <v>1454</v>
      </c>
    </row>
    <row r="1220" spans="1:17" s="382" customFormat="1" ht="15.75" thickBot="1">
      <c r="A1220" s="1543"/>
      <c r="B1220" s="1545"/>
      <c r="C1220" s="1539"/>
      <c r="D1220" s="1539"/>
      <c r="E1220" s="1539"/>
      <c r="F1220" s="1473"/>
      <c r="G1220" s="1510"/>
      <c r="H1220" s="1478"/>
      <c r="I1220" s="1473"/>
      <c r="J1220" s="1473"/>
      <c r="K1220" s="1473"/>
      <c r="L1220" s="570" t="s">
        <v>805</v>
      </c>
      <c r="M1220" s="570" t="s">
        <v>805</v>
      </c>
      <c r="N1220" s="753" t="s">
        <v>1149</v>
      </c>
      <c r="O1220" s="1478"/>
      <c r="P1220" s="1478"/>
      <c r="Q1220" s="1496"/>
    </row>
    <row r="1221" spans="1:17" s="373" customFormat="1" ht="30">
      <c r="A1221" s="1671" t="s">
        <v>727</v>
      </c>
      <c r="B1221" s="1575" t="s">
        <v>1451</v>
      </c>
      <c r="C1221" s="1575" t="s">
        <v>1729</v>
      </c>
      <c r="D1221" s="1593">
        <v>1269</v>
      </c>
      <c r="E1221" s="1593">
        <f>D1221</f>
        <v>1269</v>
      </c>
      <c r="F1221" s="654" t="s">
        <v>323</v>
      </c>
      <c r="G1221" s="866" t="s">
        <v>1728</v>
      </c>
      <c r="H1221" s="1028" t="s">
        <v>280</v>
      </c>
      <c r="I1221" s="1053">
        <v>1</v>
      </c>
      <c r="J1221" s="1085">
        <f>'preturi unitare'!O30</f>
        <v>198000</v>
      </c>
      <c r="K1221" s="1085">
        <f t="shared" ref="K1221:K1226" si="97">I1221*J1221</f>
        <v>198000</v>
      </c>
      <c r="L1221" s="1086">
        <v>0</v>
      </c>
      <c r="M1221" s="1086">
        <f t="shared" ref="M1221:M1226" si="98">K1221</f>
        <v>198000</v>
      </c>
      <c r="N1221" s="1085">
        <v>0</v>
      </c>
      <c r="O1221" s="1596">
        <f>SUM(M1221:M1223)</f>
        <v>1303500</v>
      </c>
      <c r="P1221" s="1596">
        <f>O1221/E1221</f>
        <v>1027.1867612293145</v>
      </c>
      <c r="Q1221" s="1570" t="s">
        <v>1732</v>
      </c>
    </row>
    <row r="1222" spans="1:17" s="373" customFormat="1" ht="30">
      <c r="A1222" s="1672"/>
      <c r="B1222" s="1576"/>
      <c r="C1222" s="1576"/>
      <c r="D1222" s="1594"/>
      <c r="E1222" s="1594"/>
      <c r="F1222" s="1592" t="s">
        <v>325</v>
      </c>
      <c r="G1222" s="362" t="s">
        <v>1009</v>
      </c>
      <c r="H1222" s="807" t="s">
        <v>160</v>
      </c>
      <c r="I1222" s="1043">
        <v>4500</v>
      </c>
      <c r="J1222" s="1045">
        <f>'preturi unitare'!H40</f>
        <v>154</v>
      </c>
      <c r="K1222" s="1045">
        <f t="shared" si="97"/>
        <v>693000</v>
      </c>
      <c r="L1222" s="401">
        <v>0</v>
      </c>
      <c r="M1222" s="401">
        <f t="shared" si="98"/>
        <v>693000</v>
      </c>
      <c r="N1222" s="1045">
        <v>0</v>
      </c>
      <c r="O1222" s="1597"/>
      <c r="P1222" s="1597"/>
      <c r="Q1222" s="1571"/>
    </row>
    <row r="1223" spans="1:17" s="373" customFormat="1" ht="30">
      <c r="A1223" s="1672"/>
      <c r="B1223" s="1576"/>
      <c r="C1223" s="1576"/>
      <c r="D1223" s="1594"/>
      <c r="E1223" s="1594"/>
      <c r="F1223" s="1592"/>
      <c r="G1223" s="362" t="s">
        <v>1010</v>
      </c>
      <c r="H1223" s="807" t="s">
        <v>160</v>
      </c>
      <c r="I1223" s="1043">
        <v>2500</v>
      </c>
      <c r="J1223" s="1045">
        <f>'preturi unitare'!H41</f>
        <v>165</v>
      </c>
      <c r="K1223" s="1045">
        <f t="shared" si="97"/>
        <v>412500</v>
      </c>
      <c r="L1223" s="401">
        <v>0</v>
      </c>
      <c r="M1223" s="401">
        <f t="shared" si="98"/>
        <v>412500</v>
      </c>
      <c r="N1223" s="1045">
        <v>0</v>
      </c>
      <c r="O1223" s="1597"/>
      <c r="P1223" s="1597"/>
      <c r="Q1223" s="1571"/>
    </row>
    <row r="1224" spans="1:17" s="373" customFormat="1" ht="30">
      <c r="A1224" s="1672"/>
      <c r="B1224" s="1576"/>
      <c r="C1224" s="1576" t="s">
        <v>1730</v>
      </c>
      <c r="D1224" s="1594">
        <v>1001</v>
      </c>
      <c r="E1224" s="1594">
        <f>D1224</f>
        <v>1001</v>
      </c>
      <c r="F1224" s="649" t="s">
        <v>323</v>
      </c>
      <c r="G1224" s="362" t="s">
        <v>1731</v>
      </c>
      <c r="H1224" s="393" t="s">
        <v>280</v>
      </c>
      <c r="I1224" s="1043">
        <v>1</v>
      </c>
      <c r="J1224" s="1045">
        <f>'preturi unitare'!O29</f>
        <v>165500</v>
      </c>
      <c r="K1224" s="1045">
        <f t="shared" si="97"/>
        <v>165500</v>
      </c>
      <c r="L1224" s="401">
        <v>0</v>
      </c>
      <c r="M1224" s="401">
        <f t="shared" si="98"/>
        <v>165500</v>
      </c>
      <c r="N1224" s="1045">
        <v>0</v>
      </c>
      <c r="O1224" s="1597">
        <f>SUM(M1224:M1226)</f>
        <v>1122500</v>
      </c>
      <c r="P1224" s="1597">
        <f>O1224/E1224</f>
        <v>1121.3786213786213</v>
      </c>
      <c r="Q1224" s="1548" t="s">
        <v>1733</v>
      </c>
    </row>
    <row r="1225" spans="1:17" s="373" customFormat="1" ht="30">
      <c r="A1225" s="1672"/>
      <c r="B1225" s="1576"/>
      <c r="C1225" s="1576"/>
      <c r="D1225" s="1594"/>
      <c r="E1225" s="1594"/>
      <c r="F1225" s="1595" t="s">
        <v>325</v>
      </c>
      <c r="G1225" s="362" t="s">
        <v>1007</v>
      </c>
      <c r="H1225" s="807" t="s">
        <v>160</v>
      </c>
      <c r="I1225" s="1043">
        <v>3000</v>
      </c>
      <c r="J1225" s="1045">
        <f>'preturi unitare'!H40</f>
        <v>154</v>
      </c>
      <c r="K1225" s="1045">
        <f t="shared" si="97"/>
        <v>462000</v>
      </c>
      <c r="L1225" s="401">
        <v>0</v>
      </c>
      <c r="M1225" s="401">
        <f t="shared" si="98"/>
        <v>462000</v>
      </c>
      <c r="N1225" s="1045">
        <v>0</v>
      </c>
      <c r="O1225" s="1597"/>
      <c r="P1225" s="1597"/>
      <c r="Q1225" s="1569"/>
    </row>
    <row r="1226" spans="1:17" s="373" customFormat="1" ht="30">
      <c r="A1226" s="1672"/>
      <c r="B1226" s="1576"/>
      <c r="C1226" s="1576"/>
      <c r="D1226" s="1594"/>
      <c r="E1226" s="1594"/>
      <c r="F1226" s="1595"/>
      <c r="G1226" s="362" t="s">
        <v>1008</v>
      </c>
      <c r="H1226" s="807" t="s">
        <v>160</v>
      </c>
      <c r="I1226" s="1043">
        <v>3000</v>
      </c>
      <c r="J1226" s="1045">
        <f>'preturi unitare'!H41</f>
        <v>165</v>
      </c>
      <c r="K1226" s="1045">
        <f t="shared" si="97"/>
        <v>495000</v>
      </c>
      <c r="L1226" s="401">
        <v>0</v>
      </c>
      <c r="M1226" s="401">
        <f t="shared" si="98"/>
        <v>495000</v>
      </c>
      <c r="N1226" s="1045">
        <v>0</v>
      </c>
      <c r="O1226" s="1597"/>
      <c r="P1226" s="1597"/>
      <c r="Q1226" s="1569"/>
    </row>
    <row r="1227" spans="1:17" s="373" customFormat="1" ht="45">
      <c r="A1227" s="1249"/>
      <c r="B1227" s="1250"/>
      <c r="C1227" s="1250" t="s">
        <v>2046</v>
      </c>
      <c r="D1227" s="1256">
        <v>222</v>
      </c>
      <c r="E1227" s="1256">
        <v>222</v>
      </c>
      <c r="F1227" s="1252" t="s">
        <v>323</v>
      </c>
      <c r="G1227" s="329" t="s">
        <v>2047</v>
      </c>
      <c r="H1227" s="807" t="s">
        <v>1322</v>
      </c>
      <c r="I1227" s="1238">
        <v>1</v>
      </c>
      <c r="J1227" s="1256">
        <f>'preturi unitare'!N4</f>
        <v>70000</v>
      </c>
      <c r="K1227" s="1256">
        <f>I1227*J1227</f>
        <v>70000</v>
      </c>
      <c r="L1227" s="401">
        <v>0</v>
      </c>
      <c r="M1227" s="401">
        <f>K1227</f>
        <v>70000</v>
      </c>
      <c r="N1227" s="1256">
        <v>0</v>
      </c>
      <c r="O1227" s="1253">
        <f>K1227</f>
        <v>70000</v>
      </c>
      <c r="P1227" s="1253">
        <f>O1227/E1227</f>
        <v>315.31531531531533</v>
      </c>
      <c r="Q1227" s="1258" t="s">
        <v>2048</v>
      </c>
    </row>
    <row r="1228" spans="1:17" s="381" customFormat="1">
      <c r="A1228" s="820"/>
      <c r="B1228" s="761"/>
      <c r="C1228" s="761"/>
      <c r="D1228" s="761"/>
      <c r="E1228" s="761"/>
      <c r="F1228" s="762"/>
      <c r="G1228" s="384"/>
      <c r="H1228" s="776"/>
      <c r="I1228" s="776"/>
      <c r="J1228" s="776"/>
      <c r="K1228" s="776"/>
      <c r="L1228" s="334"/>
      <c r="M1228" s="334"/>
      <c r="N1228" s="326"/>
      <c r="O1228" s="776"/>
      <c r="P1228" s="776"/>
      <c r="Q1228" s="587"/>
    </row>
    <row r="1229" spans="1:17">
      <c r="A1229" s="1532" t="s">
        <v>415</v>
      </c>
      <c r="B1229" s="1533"/>
      <c r="C1229" s="1533"/>
      <c r="D1229" s="1533"/>
      <c r="E1229" s="1533"/>
      <c r="F1229" s="1533"/>
      <c r="G1229" s="1534"/>
      <c r="H1229" s="364"/>
      <c r="I1229" s="364"/>
      <c r="J1229" s="364"/>
      <c r="K1229" s="364">
        <f>SUM(K1221:K1227)</f>
        <v>2496000</v>
      </c>
      <c r="L1229" s="365">
        <f>SUM(L1221:L1227)</f>
        <v>0</v>
      </c>
      <c r="M1229" s="365">
        <f>SUM(M1221:M1227)</f>
        <v>2496000</v>
      </c>
      <c r="N1229" s="364">
        <f>SUM(N1221:N1227)</f>
        <v>0</v>
      </c>
      <c r="O1229" s="776"/>
      <c r="P1229" s="776"/>
      <c r="Q1229" s="587"/>
    </row>
    <row r="1230" spans="1:17">
      <c r="A1230" s="820"/>
      <c r="B1230" s="782"/>
      <c r="C1230" s="782"/>
      <c r="D1230" s="782"/>
      <c r="E1230" s="782"/>
      <c r="F1230" s="762"/>
      <c r="G1230" s="328"/>
      <c r="H1230" s="776"/>
      <c r="I1230" s="776"/>
      <c r="J1230" s="776"/>
      <c r="K1230" s="776"/>
      <c r="L1230" s="334"/>
      <c r="M1230" s="334"/>
      <c r="N1230" s="776"/>
      <c r="O1230" s="776"/>
      <c r="P1230" s="776"/>
      <c r="Q1230" s="587"/>
    </row>
    <row r="1231" spans="1:17" ht="15.75" customHeight="1" thickBot="1">
      <c r="A1231" s="1474" t="s">
        <v>416</v>
      </c>
      <c r="B1231" s="1475"/>
      <c r="C1231" s="1475"/>
      <c r="D1231" s="1475"/>
      <c r="E1231" s="1475"/>
      <c r="F1231" s="1475"/>
      <c r="G1231" s="1476"/>
      <c r="H1231" s="581"/>
      <c r="I1231" s="581"/>
      <c r="J1231" s="581"/>
      <c r="K1231" s="582">
        <f>K1229+K1217</f>
        <v>5343510</v>
      </c>
      <c r="L1231" s="583">
        <f>L1229+L1217</f>
        <v>1865000</v>
      </c>
      <c r="M1231" s="583">
        <f>M1229+M1217</f>
        <v>3478510</v>
      </c>
      <c r="N1231" s="582">
        <f>N1229+N1217</f>
        <v>0</v>
      </c>
      <c r="O1231" s="581"/>
      <c r="P1231" s="581"/>
      <c r="Q1231" s="816"/>
    </row>
    <row r="1232" spans="1:17" ht="15.75" thickBot="1">
      <c r="A1232" s="586"/>
      <c r="B1232" s="871"/>
      <c r="C1232" s="871"/>
      <c r="D1232" s="871"/>
      <c r="E1232" s="871"/>
      <c r="F1232" s="595"/>
      <c r="G1232" s="595"/>
      <c r="H1232" s="716"/>
      <c r="I1232" s="716"/>
      <c r="J1232" s="716"/>
      <c r="K1232" s="626"/>
      <c r="L1232" s="592"/>
      <c r="M1232" s="592"/>
      <c r="N1232" s="626"/>
      <c r="O1232" s="771"/>
      <c r="P1232" s="771"/>
      <c r="Q1232" s="586"/>
    </row>
    <row r="1233" spans="1:19" ht="15.75" thickBot="1">
      <c r="A1233" s="859"/>
      <c r="B1233" s="639"/>
      <c r="C1233" s="639"/>
      <c r="D1233" s="639"/>
      <c r="E1233" s="639"/>
      <c r="F1233" s="846"/>
      <c r="G1233" s="577" t="s">
        <v>1924</v>
      </c>
      <c r="H1233" s="872"/>
      <c r="I1233" s="873"/>
      <c r="J1233" s="641"/>
      <c r="K1233" s="639"/>
      <c r="L1233" s="640"/>
      <c r="M1233" s="954"/>
      <c r="N1233" s="639"/>
      <c r="O1233" s="841"/>
      <c r="P1233" s="841"/>
      <c r="Q1233" s="642"/>
    </row>
    <row r="1234" spans="1:19" ht="15.75" thickBot="1">
      <c r="A1234" s="833"/>
      <c r="B1234" s="355"/>
      <c r="C1234" s="355"/>
      <c r="D1234" s="355"/>
      <c r="E1234" s="355"/>
      <c r="F1234" s="356"/>
      <c r="G1234" s="576"/>
      <c r="H1234" s="358"/>
      <c r="I1234" s="358"/>
      <c r="J1234" s="358"/>
      <c r="K1234" s="358"/>
      <c r="L1234" s="359"/>
      <c r="M1234" s="359"/>
      <c r="N1234" s="358"/>
      <c r="O1234" s="770"/>
      <c r="P1234" s="770"/>
      <c r="Q1234" s="857"/>
    </row>
    <row r="1235" spans="1:19" ht="60" customHeight="1">
      <c r="A1235" s="1562" t="s">
        <v>1452</v>
      </c>
      <c r="B1235" s="1538" t="s">
        <v>676</v>
      </c>
      <c r="C1235" s="1564" t="s">
        <v>610</v>
      </c>
      <c r="D1235" s="1538" t="s">
        <v>611</v>
      </c>
      <c r="E1235" s="1538" t="s">
        <v>1453</v>
      </c>
      <c r="F1235" s="1472" t="s">
        <v>159</v>
      </c>
      <c r="G1235" s="1509" t="s">
        <v>110</v>
      </c>
      <c r="H1235" s="1477" t="s">
        <v>316</v>
      </c>
      <c r="I1235" s="1472" t="s">
        <v>315</v>
      </c>
      <c r="J1235" s="1472" t="s">
        <v>317</v>
      </c>
      <c r="K1235" s="1472" t="s">
        <v>318</v>
      </c>
      <c r="L1235" s="569" t="s">
        <v>1443</v>
      </c>
      <c r="M1235" s="569" t="s">
        <v>1444</v>
      </c>
      <c r="N1235" s="752" t="s">
        <v>1445</v>
      </c>
      <c r="O1235" s="1477" t="s">
        <v>1673</v>
      </c>
      <c r="P1235" s="1477" t="s">
        <v>1307</v>
      </c>
      <c r="Q1235" s="1495" t="s">
        <v>1454</v>
      </c>
    </row>
    <row r="1236" spans="1:19" ht="15.75" thickBot="1">
      <c r="A1236" s="1563"/>
      <c r="B1236" s="1539"/>
      <c r="C1236" s="1565"/>
      <c r="D1236" s="1539"/>
      <c r="E1236" s="1539"/>
      <c r="F1236" s="1473"/>
      <c r="G1236" s="1510"/>
      <c r="H1236" s="1478"/>
      <c r="I1236" s="1473"/>
      <c r="J1236" s="1473"/>
      <c r="K1236" s="1473"/>
      <c r="L1236" s="570" t="s">
        <v>805</v>
      </c>
      <c r="M1236" s="570" t="s">
        <v>805</v>
      </c>
      <c r="N1236" s="753" t="s">
        <v>1149</v>
      </c>
      <c r="O1236" s="1478"/>
      <c r="P1236" s="1478"/>
      <c r="Q1236" s="1496"/>
    </row>
    <row r="1237" spans="1:19" ht="45">
      <c r="A1237" s="1485" t="s">
        <v>728</v>
      </c>
      <c r="B1237" s="1487" t="s">
        <v>612</v>
      </c>
      <c r="C1237" s="1487" t="s">
        <v>733</v>
      </c>
      <c r="D1237" s="1487" t="s">
        <v>734</v>
      </c>
      <c r="E1237" s="1587" t="s">
        <v>1451</v>
      </c>
      <c r="F1237" s="757" t="s">
        <v>320</v>
      </c>
      <c r="G1237" s="412" t="s">
        <v>1011</v>
      </c>
      <c r="H1237" s="414" t="s">
        <v>160</v>
      </c>
      <c r="I1237" s="756">
        <v>1300</v>
      </c>
      <c r="J1237" s="756">
        <f>'preturi unitare'!H33</f>
        <v>60</v>
      </c>
      <c r="K1237" s="756">
        <f>I1237*J1237</f>
        <v>78000</v>
      </c>
      <c r="L1237" s="411">
        <f>K1237</f>
        <v>78000</v>
      </c>
      <c r="M1237" s="411">
        <v>0</v>
      </c>
      <c r="N1237" s="433">
        <v>0</v>
      </c>
      <c r="O1237" s="1465">
        <f>SUM(L1237:L1240)</f>
        <v>425700</v>
      </c>
      <c r="P1237" s="1484">
        <f>O1237/D1237</f>
        <v>561.60949868073874</v>
      </c>
      <c r="Q1237" s="1572" t="s">
        <v>1659</v>
      </c>
    </row>
    <row r="1238" spans="1:19" ht="30">
      <c r="A1238" s="1486"/>
      <c r="B1238" s="1488"/>
      <c r="C1238" s="1488"/>
      <c r="D1238" s="1488"/>
      <c r="E1238" s="1587"/>
      <c r="F1238" s="762" t="s">
        <v>321</v>
      </c>
      <c r="G1238" s="329" t="s">
        <v>1012</v>
      </c>
      <c r="H1238" s="807" t="s">
        <v>280</v>
      </c>
      <c r="I1238" s="776">
        <v>1</v>
      </c>
      <c r="J1238" s="776">
        <f>'preturi unitare'!H5</f>
        <v>70000</v>
      </c>
      <c r="K1238" s="776">
        <f>I1238*J1238</f>
        <v>70000</v>
      </c>
      <c r="L1238" s="334">
        <f>K1238</f>
        <v>70000</v>
      </c>
      <c r="M1238" s="334">
        <v>0</v>
      </c>
      <c r="N1238" s="376">
        <v>0</v>
      </c>
      <c r="O1238" s="1482"/>
      <c r="P1238" s="1483"/>
      <c r="Q1238" s="1636"/>
    </row>
    <row r="1239" spans="1:19" ht="30">
      <c r="A1239" s="1486"/>
      <c r="B1239" s="1488"/>
      <c r="C1239" s="1488"/>
      <c r="D1239" s="1488"/>
      <c r="E1239" s="1587"/>
      <c r="F1239" s="762" t="s">
        <v>322</v>
      </c>
      <c r="G1239" s="362" t="s">
        <v>417</v>
      </c>
      <c r="H1239" s="807" t="s">
        <v>160</v>
      </c>
      <c r="I1239" s="776">
        <v>3300</v>
      </c>
      <c r="J1239" s="776">
        <f>'preturi unitare'!H22</f>
        <v>64</v>
      </c>
      <c r="K1239" s="776">
        <f>I1239*J1239</f>
        <v>211200</v>
      </c>
      <c r="L1239" s="334">
        <f>K1239</f>
        <v>211200</v>
      </c>
      <c r="M1239" s="334">
        <v>0</v>
      </c>
      <c r="N1239" s="376">
        <v>0</v>
      </c>
      <c r="O1239" s="1482"/>
      <c r="P1239" s="1483"/>
      <c r="Q1239" s="1636"/>
    </row>
    <row r="1240" spans="1:19" ht="32.25">
      <c r="A1240" s="1486"/>
      <c r="B1240" s="1488"/>
      <c r="C1240" s="1488"/>
      <c r="D1240" s="1488"/>
      <c r="E1240" s="1487"/>
      <c r="F1240" s="762" t="s">
        <v>279</v>
      </c>
      <c r="G1240" s="329" t="s">
        <v>1013</v>
      </c>
      <c r="H1240" s="653" t="s">
        <v>280</v>
      </c>
      <c r="I1240" s="776">
        <v>1</v>
      </c>
      <c r="J1240" s="776">
        <f>'preturi unitare'!E26+'preturi unitare'!E6</f>
        <v>66500</v>
      </c>
      <c r="K1240" s="776">
        <f>I1240*J1240</f>
        <v>66500</v>
      </c>
      <c r="L1240" s="334">
        <f>K1240</f>
        <v>66500</v>
      </c>
      <c r="M1240" s="334">
        <v>0</v>
      </c>
      <c r="N1240" s="376">
        <v>0</v>
      </c>
      <c r="O1240" s="1482"/>
      <c r="P1240" s="1483"/>
      <c r="Q1240" s="1637"/>
    </row>
    <row r="1241" spans="1:19">
      <c r="A1241" s="820"/>
      <c r="B1241" s="326"/>
      <c r="C1241" s="326"/>
      <c r="D1241" s="326"/>
      <c r="E1241" s="326"/>
      <c r="F1241" s="326"/>
      <c r="G1241" s="326"/>
      <c r="H1241" s="326"/>
      <c r="I1241" s="776"/>
      <c r="J1241" s="776"/>
      <c r="K1241" s="776"/>
      <c r="L1241" s="334"/>
      <c r="M1241" s="334"/>
      <c r="N1241" s="326"/>
      <c r="O1241" s="776"/>
      <c r="P1241" s="776"/>
      <c r="Q1241" s="587"/>
    </row>
    <row r="1242" spans="1:19" ht="15.75" customHeight="1">
      <c r="A1242" s="1733" t="s">
        <v>581</v>
      </c>
      <c r="B1242" s="1734"/>
      <c r="C1242" s="1734"/>
      <c r="D1242" s="1734"/>
      <c r="E1242" s="1734"/>
      <c r="F1242" s="1734"/>
      <c r="G1242" s="1735"/>
      <c r="H1242" s="571"/>
      <c r="I1242" s="572"/>
      <c r="J1242" s="572"/>
      <c r="K1242" s="573">
        <f>SUM(K1237:K1240)</f>
        <v>425700</v>
      </c>
      <c r="L1242" s="574">
        <f>SUM(L1237:L1240)</f>
        <v>425700</v>
      </c>
      <c r="M1242" s="574">
        <f>SUM(M1237:M1240)</f>
        <v>0</v>
      </c>
      <c r="N1242" s="573">
        <f>SUM(N1237:N1241)</f>
        <v>0</v>
      </c>
      <c r="O1242" s="776"/>
      <c r="P1242" s="776"/>
      <c r="Q1242" s="587"/>
      <c r="S1242" s="629"/>
    </row>
    <row r="1243" spans="1:19" ht="14.25" customHeight="1" thickBot="1">
      <c r="A1243" s="833"/>
      <c r="B1243" s="397"/>
      <c r="C1243" s="397"/>
      <c r="D1243" s="397"/>
      <c r="E1243" s="397"/>
      <c r="F1243" s="766"/>
      <c r="G1243" s="417"/>
      <c r="H1243" s="732"/>
      <c r="I1243" s="732"/>
      <c r="J1243" s="732"/>
      <c r="K1243" s="732"/>
      <c r="L1243" s="426"/>
      <c r="M1243" s="426"/>
      <c r="N1243" s="418"/>
      <c r="O1243" s="770"/>
      <c r="P1243" s="770"/>
      <c r="Q1243" s="857"/>
    </row>
    <row r="1244" spans="1:19" s="382" customFormat="1" ht="60" customHeight="1">
      <c r="A1244" s="1542" t="s">
        <v>632</v>
      </c>
      <c r="B1244" s="1544" t="s">
        <v>617</v>
      </c>
      <c r="C1244" s="1538" t="s">
        <v>610</v>
      </c>
      <c r="D1244" s="1538" t="s">
        <v>611</v>
      </c>
      <c r="E1244" s="1538" t="s">
        <v>1453</v>
      </c>
      <c r="F1244" s="1472" t="s">
        <v>159</v>
      </c>
      <c r="G1244" s="1509" t="s">
        <v>110</v>
      </c>
      <c r="H1244" s="1477" t="s">
        <v>316</v>
      </c>
      <c r="I1244" s="1472" t="s">
        <v>315</v>
      </c>
      <c r="J1244" s="1472" t="s">
        <v>317</v>
      </c>
      <c r="K1244" s="1472" t="s">
        <v>318</v>
      </c>
      <c r="L1244" s="569" t="s">
        <v>1443</v>
      </c>
      <c r="M1244" s="569" t="s">
        <v>1444</v>
      </c>
      <c r="N1244" s="752" t="s">
        <v>1445</v>
      </c>
      <c r="O1244" s="1477" t="s">
        <v>1673</v>
      </c>
      <c r="P1244" s="1477" t="s">
        <v>1307</v>
      </c>
      <c r="Q1244" s="1495" t="s">
        <v>1454</v>
      </c>
    </row>
    <row r="1245" spans="1:19" s="382" customFormat="1" ht="15.75" thickBot="1">
      <c r="A1245" s="1543"/>
      <c r="B1245" s="1545"/>
      <c r="C1245" s="1539"/>
      <c r="D1245" s="1539"/>
      <c r="E1245" s="1539"/>
      <c r="F1245" s="1473"/>
      <c r="G1245" s="1510"/>
      <c r="H1245" s="1478"/>
      <c r="I1245" s="1473"/>
      <c r="J1245" s="1473"/>
      <c r="K1245" s="1473"/>
      <c r="L1245" s="570" t="s">
        <v>805</v>
      </c>
      <c r="M1245" s="570" t="s">
        <v>805</v>
      </c>
      <c r="N1245" s="753" t="s">
        <v>1149</v>
      </c>
      <c r="O1245" s="1478"/>
      <c r="P1245" s="1478"/>
      <c r="Q1245" s="1496"/>
    </row>
    <row r="1246" spans="1:19" ht="62.25" customHeight="1">
      <c r="A1246" s="1678" t="s">
        <v>728</v>
      </c>
      <c r="B1246" s="1715" t="s">
        <v>728</v>
      </c>
      <c r="C1246" s="1611" t="s">
        <v>1736</v>
      </c>
      <c r="D1246" s="1681">
        <f>1552+460</f>
        <v>2012</v>
      </c>
      <c r="E1246" s="1681">
        <f>1.1*D1246</f>
        <v>2213.2000000000003</v>
      </c>
      <c r="F1246" s="1129" t="s">
        <v>323</v>
      </c>
      <c r="G1246" s="412" t="s">
        <v>1737</v>
      </c>
      <c r="H1246" s="1136" t="s">
        <v>280</v>
      </c>
      <c r="I1246" s="1130">
        <v>1</v>
      </c>
      <c r="J1246" s="1130">
        <f>'preturi unitare'!O33</f>
        <v>246000</v>
      </c>
      <c r="K1246" s="1130">
        <f t="shared" ref="K1246:K1259" si="99">I1246*J1246</f>
        <v>246000</v>
      </c>
      <c r="L1246" s="411">
        <f t="shared" ref="L1246:L1247" si="100">K1246</f>
        <v>246000</v>
      </c>
      <c r="M1246" s="411">
        <v>0</v>
      </c>
      <c r="N1246" s="420">
        <v>0</v>
      </c>
      <c r="O1246" s="1463">
        <f>SUM(L1246:L1248)</f>
        <v>2419600</v>
      </c>
      <c r="P1246" s="1463">
        <f>O1246/E1246</f>
        <v>1093.2586300379539</v>
      </c>
      <c r="Q1246" s="1572" t="s">
        <v>1741</v>
      </c>
    </row>
    <row r="1247" spans="1:19" s="382" customFormat="1" ht="30">
      <c r="A1247" s="1679"/>
      <c r="B1247" s="1587"/>
      <c r="C1247" s="1626"/>
      <c r="D1247" s="1627"/>
      <c r="E1247" s="1627"/>
      <c r="F1247" s="1687" t="s">
        <v>325</v>
      </c>
      <c r="G1247" s="362" t="s">
        <v>1014</v>
      </c>
      <c r="H1247" s="807" t="s">
        <v>160</v>
      </c>
      <c r="I1247" s="1119">
        <v>10000</v>
      </c>
      <c r="J1247" s="1119">
        <f>'preturi unitare'!H41</f>
        <v>165</v>
      </c>
      <c r="K1247" s="1121">
        <f t="shared" si="99"/>
        <v>1650000</v>
      </c>
      <c r="L1247" s="334">
        <f t="shared" si="100"/>
        <v>1650000</v>
      </c>
      <c r="M1247" s="334">
        <v>0</v>
      </c>
      <c r="N1247" s="375">
        <v>0</v>
      </c>
      <c r="O1247" s="1464"/>
      <c r="P1247" s="1464"/>
      <c r="Q1247" s="1573"/>
    </row>
    <row r="1248" spans="1:19" s="382" customFormat="1" ht="30">
      <c r="A1248" s="1679"/>
      <c r="B1248" s="1487"/>
      <c r="C1248" s="1599"/>
      <c r="D1248" s="1598"/>
      <c r="E1248" s="1598"/>
      <c r="F1248" s="1468"/>
      <c r="G1248" s="362" t="s">
        <v>1017</v>
      </c>
      <c r="H1248" s="807" t="s">
        <v>160</v>
      </c>
      <c r="I1248" s="1119">
        <v>3400</v>
      </c>
      <c r="J1248" s="1119">
        <f>'preturi unitare'!H40</f>
        <v>154</v>
      </c>
      <c r="K1248" s="1121">
        <f t="shared" si="99"/>
        <v>523600</v>
      </c>
      <c r="L1248" s="334">
        <f>K1248</f>
        <v>523600</v>
      </c>
      <c r="M1248" s="334">
        <v>0</v>
      </c>
      <c r="N1248" s="375">
        <v>0</v>
      </c>
      <c r="O1248" s="1465"/>
      <c r="P1248" s="1465"/>
      <c r="Q1248" s="1574"/>
    </row>
    <row r="1249" spans="1:17" s="382" customFormat="1" ht="30">
      <c r="A1249" s="1679"/>
      <c r="B1249" s="1488" t="s">
        <v>1451</v>
      </c>
      <c r="C1249" s="1625" t="s">
        <v>729</v>
      </c>
      <c r="D1249" s="1577">
        <v>597</v>
      </c>
      <c r="E1249" s="1629">
        <f>D1249</f>
        <v>597</v>
      </c>
      <c r="F1249" s="1128" t="s">
        <v>323</v>
      </c>
      <c r="G1249" s="329" t="s">
        <v>1018</v>
      </c>
      <c r="H1249" s="1117" t="s">
        <v>280</v>
      </c>
      <c r="I1249" s="1121">
        <v>1</v>
      </c>
      <c r="J1249" s="1121">
        <f>'preturi unitare'!O26</f>
        <v>94000</v>
      </c>
      <c r="K1249" s="1121">
        <f t="shared" si="99"/>
        <v>94000</v>
      </c>
      <c r="L1249" s="334">
        <v>0</v>
      </c>
      <c r="M1249" s="334">
        <f>K1249</f>
        <v>94000</v>
      </c>
      <c r="N1249" s="375">
        <v>0</v>
      </c>
      <c r="O1249" s="1482">
        <f>SUM(K1249:K1250)</f>
        <v>910200</v>
      </c>
      <c r="P1249" s="1482">
        <f>O1249/E1249</f>
        <v>1524.6231155778894</v>
      </c>
      <c r="Q1249" s="1581" t="s">
        <v>1531</v>
      </c>
    </row>
    <row r="1250" spans="1:17" s="382" customFormat="1" ht="30">
      <c r="A1250" s="1679"/>
      <c r="B1250" s="1590"/>
      <c r="C1250" s="1599"/>
      <c r="D1250" s="1577"/>
      <c r="E1250" s="1598"/>
      <c r="F1250" s="1128" t="s">
        <v>325</v>
      </c>
      <c r="G1250" s="362" t="s">
        <v>1019</v>
      </c>
      <c r="H1250" s="807" t="s">
        <v>160</v>
      </c>
      <c r="I1250" s="1119">
        <v>5300</v>
      </c>
      <c r="J1250" s="1119">
        <f>'preturi unitare'!H40</f>
        <v>154</v>
      </c>
      <c r="K1250" s="1121">
        <f t="shared" si="99"/>
        <v>816200</v>
      </c>
      <c r="L1250" s="334">
        <v>0</v>
      </c>
      <c r="M1250" s="334">
        <f t="shared" ref="M1250:M1259" si="101">K1250</f>
        <v>816200</v>
      </c>
      <c r="N1250" s="375">
        <v>0</v>
      </c>
      <c r="O1250" s="1482"/>
      <c r="P1250" s="1482"/>
      <c r="Q1250" s="1637"/>
    </row>
    <row r="1251" spans="1:17" s="382" customFormat="1" ht="30">
      <c r="A1251" s="1679"/>
      <c r="B1251" s="1488" t="s">
        <v>1451</v>
      </c>
      <c r="C1251" s="1488" t="s">
        <v>731</v>
      </c>
      <c r="D1251" s="1577">
        <v>486</v>
      </c>
      <c r="E1251" s="1629">
        <f>D1251</f>
        <v>486</v>
      </c>
      <c r="F1251" s="1128" t="s">
        <v>323</v>
      </c>
      <c r="G1251" s="329" t="s">
        <v>1020</v>
      </c>
      <c r="H1251" s="1117" t="s">
        <v>280</v>
      </c>
      <c r="I1251" s="1121">
        <v>1</v>
      </c>
      <c r="J1251" s="1121">
        <f>J1249</f>
        <v>94000</v>
      </c>
      <c r="K1251" s="1121">
        <f t="shared" si="99"/>
        <v>94000</v>
      </c>
      <c r="L1251" s="334">
        <v>0</v>
      </c>
      <c r="M1251" s="334">
        <f t="shared" si="101"/>
        <v>94000</v>
      </c>
      <c r="N1251" s="375">
        <v>0</v>
      </c>
      <c r="O1251" s="1482">
        <f>SUM(K1251:K1252)</f>
        <v>864000</v>
      </c>
      <c r="P1251" s="1482">
        <f>O1251/D1251</f>
        <v>1777.7777777777778</v>
      </c>
      <c r="Q1251" s="1581" t="s">
        <v>1534</v>
      </c>
    </row>
    <row r="1252" spans="1:17" s="382" customFormat="1" ht="30">
      <c r="A1252" s="1679"/>
      <c r="B1252" s="1590"/>
      <c r="C1252" s="1488"/>
      <c r="D1252" s="1577"/>
      <c r="E1252" s="1598"/>
      <c r="F1252" s="1128" t="s">
        <v>325</v>
      </c>
      <c r="G1252" s="362" t="s">
        <v>1021</v>
      </c>
      <c r="H1252" s="807" t="s">
        <v>160</v>
      </c>
      <c r="I1252" s="1119">
        <v>5000</v>
      </c>
      <c r="J1252" s="1119">
        <f>J1250</f>
        <v>154</v>
      </c>
      <c r="K1252" s="1121">
        <f t="shared" si="99"/>
        <v>770000</v>
      </c>
      <c r="L1252" s="334">
        <v>0</v>
      </c>
      <c r="M1252" s="334">
        <f t="shared" si="101"/>
        <v>770000</v>
      </c>
      <c r="N1252" s="375">
        <v>0</v>
      </c>
      <c r="O1252" s="1482"/>
      <c r="P1252" s="1482"/>
      <c r="Q1252" s="1637"/>
    </row>
    <row r="1253" spans="1:17" s="382" customFormat="1" ht="45">
      <c r="A1253" s="1679"/>
      <c r="B1253" s="761" t="s">
        <v>1451</v>
      </c>
      <c r="C1253" s="761" t="s">
        <v>732</v>
      </c>
      <c r="D1253" s="763">
        <v>320</v>
      </c>
      <c r="E1253" s="763">
        <f>D1253</f>
        <v>320</v>
      </c>
      <c r="F1253" s="1128" t="s">
        <v>323</v>
      </c>
      <c r="G1253" s="384" t="s">
        <v>1324</v>
      </c>
      <c r="H1253" s="1117" t="s">
        <v>1322</v>
      </c>
      <c r="I1253" s="1121">
        <v>1</v>
      </c>
      <c r="J1253" s="1119">
        <f>'preturi unitare'!N4</f>
        <v>70000</v>
      </c>
      <c r="K1253" s="1121">
        <f t="shared" si="99"/>
        <v>70000</v>
      </c>
      <c r="L1253" s="334">
        <v>0</v>
      </c>
      <c r="M1253" s="334">
        <f>K1253</f>
        <v>70000</v>
      </c>
      <c r="N1253" s="375">
        <v>0</v>
      </c>
      <c r="O1253" s="807">
        <f>K1253</f>
        <v>70000</v>
      </c>
      <c r="P1253" s="776">
        <f>O1253/D1253</f>
        <v>218.75</v>
      </c>
      <c r="Q1253" s="982" t="s">
        <v>1532</v>
      </c>
    </row>
    <row r="1254" spans="1:17" s="382" customFormat="1" ht="30">
      <c r="A1254" s="1679"/>
      <c r="B1254" s="1684" t="s">
        <v>1451</v>
      </c>
      <c r="C1254" s="1684" t="s">
        <v>1734</v>
      </c>
      <c r="D1254" s="1629">
        <v>642</v>
      </c>
      <c r="E1254" s="1629">
        <f>D1254</f>
        <v>642</v>
      </c>
      <c r="F1254" s="1128" t="s">
        <v>323</v>
      </c>
      <c r="G1254" s="329" t="s">
        <v>1735</v>
      </c>
      <c r="H1254" s="1117" t="s">
        <v>280</v>
      </c>
      <c r="I1254" s="1121">
        <v>1</v>
      </c>
      <c r="J1254" s="1119">
        <f>'preturi unitare'!O27</f>
        <v>106500</v>
      </c>
      <c r="K1254" s="1121">
        <f>I1254*J1254</f>
        <v>106500</v>
      </c>
      <c r="L1254" s="334">
        <v>0</v>
      </c>
      <c r="M1254" s="334">
        <f t="shared" si="101"/>
        <v>106500</v>
      </c>
      <c r="N1254" s="375">
        <v>0</v>
      </c>
      <c r="O1254" s="1578">
        <f>SUM(K1254:K1255)</f>
        <v>922700</v>
      </c>
      <c r="P1254" s="1580">
        <f>O1254/E1254</f>
        <v>1437.2274143302182</v>
      </c>
      <c r="Q1254" s="1581" t="s">
        <v>1739</v>
      </c>
    </row>
    <row r="1255" spans="1:17" s="382" customFormat="1" ht="30">
      <c r="A1255" s="1679"/>
      <c r="B1255" s="1487"/>
      <c r="C1255" s="1487"/>
      <c r="D1255" s="1598"/>
      <c r="E1255" s="1598"/>
      <c r="F1255" s="1128" t="s">
        <v>325</v>
      </c>
      <c r="G1255" s="362" t="s">
        <v>1015</v>
      </c>
      <c r="H1255" s="807" t="s">
        <v>160</v>
      </c>
      <c r="I1255" s="1121">
        <v>5300</v>
      </c>
      <c r="J1255" s="1119">
        <f>'preturi unitare'!H40</f>
        <v>154</v>
      </c>
      <c r="K1255" s="1121">
        <f>I1255*J1255</f>
        <v>816200</v>
      </c>
      <c r="L1255" s="334">
        <v>0</v>
      </c>
      <c r="M1255" s="334">
        <f t="shared" si="101"/>
        <v>816200</v>
      </c>
      <c r="N1255" s="375">
        <v>0</v>
      </c>
      <c r="O1255" s="1579"/>
      <c r="P1255" s="1465"/>
      <c r="Q1255" s="1574"/>
    </row>
    <row r="1256" spans="1:17" s="382" customFormat="1" ht="30">
      <c r="A1256" s="1679"/>
      <c r="B1256" s="1684" t="s">
        <v>1451</v>
      </c>
      <c r="C1256" s="1684" t="s">
        <v>733</v>
      </c>
      <c r="D1256" s="1629">
        <v>758</v>
      </c>
      <c r="E1256" s="1629">
        <f>D1256</f>
        <v>758</v>
      </c>
      <c r="F1256" s="1128" t="s">
        <v>323</v>
      </c>
      <c r="G1256" s="329" t="s">
        <v>1738</v>
      </c>
      <c r="H1256" s="1117" t="s">
        <v>280</v>
      </c>
      <c r="I1256" s="1121">
        <v>1</v>
      </c>
      <c r="J1256" s="1119">
        <f>'preturi unitare'!O28</f>
        <v>120000</v>
      </c>
      <c r="K1256" s="1121">
        <f>I1256*J1256</f>
        <v>120000</v>
      </c>
      <c r="L1256" s="334">
        <v>0</v>
      </c>
      <c r="M1256" s="334">
        <f t="shared" si="101"/>
        <v>120000</v>
      </c>
      <c r="N1256" s="375">
        <v>0</v>
      </c>
      <c r="O1256" s="1578">
        <f>SUM(K1256:K1257)</f>
        <v>628200</v>
      </c>
      <c r="P1256" s="1580">
        <f>O1256/E1256</f>
        <v>828.75989445910295</v>
      </c>
      <c r="Q1256" s="1581" t="s">
        <v>1740</v>
      </c>
    </row>
    <row r="1257" spans="1:17" s="382" customFormat="1" ht="30">
      <c r="A1257" s="1679"/>
      <c r="B1257" s="1487"/>
      <c r="C1257" s="1487"/>
      <c r="D1257" s="1598"/>
      <c r="E1257" s="1598"/>
      <c r="F1257" s="1128" t="s">
        <v>325</v>
      </c>
      <c r="G1257" s="362" t="s">
        <v>1016</v>
      </c>
      <c r="H1257" s="807" t="s">
        <v>160</v>
      </c>
      <c r="I1257" s="1121">
        <v>3300</v>
      </c>
      <c r="J1257" s="1119">
        <f>'preturi unitare'!H40</f>
        <v>154</v>
      </c>
      <c r="K1257" s="1121">
        <f>I1257*J1257</f>
        <v>508200</v>
      </c>
      <c r="L1257" s="334">
        <v>0</v>
      </c>
      <c r="M1257" s="334">
        <f t="shared" si="101"/>
        <v>508200</v>
      </c>
      <c r="N1257" s="375">
        <v>0</v>
      </c>
      <c r="O1257" s="1579"/>
      <c r="P1257" s="1465"/>
      <c r="Q1257" s="1574"/>
    </row>
    <row r="1258" spans="1:17" s="382" customFormat="1" ht="30">
      <c r="A1258" s="1679"/>
      <c r="B1258" s="1488" t="s">
        <v>1451</v>
      </c>
      <c r="C1258" s="1488" t="s">
        <v>730</v>
      </c>
      <c r="D1258" s="1577">
        <v>461</v>
      </c>
      <c r="E1258" s="1629">
        <f>D1258</f>
        <v>461</v>
      </c>
      <c r="F1258" s="1128" t="s">
        <v>323</v>
      </c>
      <c r="G1258" s="362" t="s">
        <v>1022</v>
      </c>
      <c r="H1258" s="1117" t="s">
        <v>280</v>
      </c>
      <c r="I1258" s="1121">
        <v>1</v>
      </c>
      <c r="J1258" s="1121">
        <f>'preturi unitare'!L4</f>
        <v>70000</v>
      </c>
      <c r="K1258" s="1121">
        <f t="shared" si="99"/>
        <v>70000</v>
      </c>
      <c r="L1258" s="334">
        <v>0</v>
      </c>
      <c r="M1258" s="334">
        <f t="shared" si="101"/>
        <v>70000</v>
      </c>
      <c r="N1258" s="375">
        <v>0</v>
      </c>
      <c r="O1258" s="1482">
        <f>SUM(K1258:K1259)</f>
        <v>609000</v>
      </c>
      <c r="P1258" s="1482">
        <f>O1258/E1258</f>
        <v>1321.0412147505424</v>
      </c>
      <c r="Q1258" s="1581" t="s">
        <v>1533</v>
      </c>
    </row>
    <row r="1259" spans="1:17" s="382" customFormat="1" ht="30">
      <c r="A1259" s="1679"/>
      <c r="B1259" s="1590"/>
      <c r="C1259" s="1488"/>
      <c r="D1259" s="1577"/>
      <c r="E1259" s="1598"/>
      <c r="F1259" s="1128" t="s">
        <v>325</v>
      </c>
      <c r="G1259" s="362" t="s">
        <v>1023</v>
      </c>
      <c r="H1259" s="1117" t="s">
        <v>160</v>
      </c>
      <c r="I1259" s="1121">
        <v>3500</v>
      </c>
      <c r="J1259" s="1121">
        <f>'preturi unitare'!H40</f>
        <v>154</v>
      </c>
      <c r="K1259" s="1121">
        <f t="shared" si="99"/>
        <v>539000</v>
      </c>
      <c r="L1259" s="334">
        <v>0</v>
      </c>
      <c r="M1259" s="334">
        <f t="shared" si="101"/>
        <v>539000</v>
      </c>
      <c r="N1259" s="375">
        <v>0</v>
      </c>
      <c r="O1259" s="1482"/>
      <c r="P1259" s="1482"/>
      <c r="Q1259" s="1637"/>
    </row>
    <row r="1260" spans="1:17" s="381" customFormat="1">
      <c r="A1260" s="820"/>
      <c r="B1260" s="761"/>
      <c r="C1260" s="761"/>
      <c r="D1260" s="761"/>
      <c r="E1260" s="761"/>
      <c r="F1260" s="1128"/>
      <c r="G1260" s="384"/>
      <c r="H1260" s="1119"/>
      <c r="I1260" s="1119"/>
      <c r="J1260" s="1119"/>
      <c r="K1260" s="1119"/>
      <c r="L1260" s="334"/>
      <c r="M1260" s="334"/>
      <c r="N1260" s="326"/>
      <c r="O1260" s="776"/>
      <c r="P1260" s="776"/>
      <c r="Q1260" s="587"/>
    </row>
    <row r="1261" spans="1:17">
      <c r="A1261" s="1532" t="s">
        <v>418</v>
      </c>
      <c r="B1261" s="1533"/>
      <c r="C1261" s="1533"/>
      <c r="D1261" s="1533"/>
      <c r="E1261" s="1533"/>
      <c r="F1261" s="1533"/>
      <c r="G1261" s="1534"/>
      <c r="H1261" s="364"/>
      <c r="I1261" s="364"/>
      <c r="J1261" s="364"/>
      <c r="K1261" s="364">
        <f>SUM(K1246:K1259)</f>
        <v>6423700</v>
      </c>
      <c r="L1261" s="365">
        <f>SUM(L1246:L1259)</f>
        <v>2419600</v>
      </c>
      <c r="M1261" s="365">
        <f>SUM(M1246:M1259)</f>
        <v>4004100</v>
      </c>
      <c r="N1261" s="364">
        <f>SUM(N1246:N1259)</f>
        <v>0</v>
      </c>
      <c r="O1261" s="776"/>
      <c r="P1261" s="776"/>
      <c r="Q1261" s="587"/>
    </row>
    <row r="1262" spans="1:17">
      <c r="A1262" s="820"/>
      <c r="B1262" s="782"/>
      <c r="C1262" s="782"/>
      <c r="D1262" s="782"/>
      <c r="E1262" s="782"/>
      <c r="F1262" s="762"/>
      <c r="G1262" s="328"/>
      <c r="H1262" s="776"/>
      <c r="I1262" s="776"/>
      <c r="J1262" s="776"/>
      <c r="K1262" s="776"/>
      <c r="L1262" s="334"/>
      <c r="M1262" s="334"/>
      <c r="N1262" s="776"/>
      <c r="O1262" s="776"/>
      <c r="P1262" s="776"/>
      <c r="Q1262" s="587"/>
    </row>
    <row r="1263" spans="1:17" ht="15" customHeight="1" thickBot="1">
      <c r="A1263" s="1474" t="s">
        <v>419</v>
      </c>
      <c r="B1263" s="1475"/>
      <c r="C1263" s="1475"/>
      <c r="D1263" s="1475"/>
      <c r="E1263" s="1475"/>
      <c r="F1263" s="1475"/>
      <c r="G1263" s="1476"/>
      <c r="H1263" s="581"/>
      <c r="I1263" s="581"/>
      <c r="J1263" s="581"/>
      <c r="K1263" s="582">
        <f>K1242+K1261</f>
        <v>6849400</v>
      </c>
      <c r="L1263" s="583">
        <f>L1242+L1261</f>
        <v>2845300</v>
      </c>
      <c r="M1263" s="583">
        <f>M1242+M1261</f>
        <v>4004100</v>
      </c>
      <c r="N1263" s="582">
        <f>N1242+N1261</f>
        <v>0</v>
      </c>
      <c r="O1263" s="581"/>
      <c r="P1263" s="581"/>
      <c r="Q1263" s="816"/>
    </row>
    <row r="1264" spans="1:17" ht="15.75" thickBot="1">
      <c r="A1264" s="586"/>
      <c r="B1264" s="871"/>
      <c r="C1264" s="871"/>
      <c r="D1264" s="871"/>
      <c r="E1264" s="871"/>
      <c r="F1264" s="595"/>
      <c r="G1264" s="595"/>
      <c r="H1264" s="716"/>
      <c r="I1264" s="716"/>
      <c r="J1264" s="716"/>
      <c r="K1264" s="626"/>
      <c r="L1264" s="592"/>
      <c r="M1264" s="592"/>
      <c r="N1264" s="626"/>
      <c r="O1264" s="771"/>
      <c r="P1264" s="771"/>
      <c r="Q1264" s="586"/>
    </row>
    <row r="1265" spans="1:17" ht="15.75" thickBot="1">
      <c r="A1265" s="859"/>
      <c r="B1265" s="639"/>
      <c r="C1265" s="639"/>
      <c r="D1265" s="639"/>
      <c r="E1265" s="639"/>
      <c r="F1265" s="846"/>
      <c r="G1265" s="577" t="s">
        <v>1925</v>
      </c>
      <c r="H1265" s="872"/>
      <c r="I1265" s="873"/>
      <c r="J1265" s="641"/>
      <c r="K1265" s="639"/>
      <c r="L1265" s="640"/>
      <c r="M1265" s="640"/>
      <c r="N1265" s="639"/>
      <c r="O1265" s="841"/>
      <c r="P1265" s="841"/>
      <c r="Q1265" s="642"/>
    </row>
    <row r="1266" spans="1:17" ht="15.75" thickBot="1">
      <c r="A1266" s="833"/>
      <c r="B1266" s="355"/>
      <c r="C1266" s="355"/>
      <c r="D1266" s="355"/>
      <c r="E1266" s="355"/>
      <c r="F1266" s="356"/>
      <c r="G1266" s="576"/>
      <c r="H1266" s="358"/>
      <c r="I1266" s="358"/>
      <c r="J1266" s="358"/>
      <c r="K1266" s="358"/>
      <c r="L1266" s="359"/>
      <c r="M1266" s="359"/>
      <c r="N1266" s="358"/>
      <c r="O1266" s="770"/>
      <c r="P1266" s="770"/>
      <c r="Q1266" s="857"/>
    </row>
    <row r="1267" spans="1:17" s="382" customFormat="1" ht="60" customHeight="1">
      <c r="A1267" s="1542" t="s">
        <v>632</v>
      </c>
      <c r="B1267" s="1544" t="s">
        <v>617</v>
      </c>
      <c r="C1267" s="1538" t="s">
        <v>610</v>
      </c>
      <c r="D1267" s="1538" t="s">
        <v>611</v>
      </c>
      <c r="E1267" s="1538" t="s">
        <v>1453</v>
      </c>
      <c r="F1267" s="1472" t="s">
        <v>159</v>
      </c>
      <c r="G1267" s="1509" t="s">
        <v>110</v>
      </c>
      <c r="H1267" s="1477" t="s">
        <v>316</v>
      </c>
      <c r="I1267" s="1472" t="s">
        <v>315</v>
      </c>
      <c r="J1267" s="1472" t="s">
        <v>317</v>
      </c>
      <c r="K1267" s="1472" t="s">
        <v>318</v>
      </c>
      <c r="L1267" s="569" t="s">
        <v>1443</v>
      </c>
      <c r="M1267" s="569" t="s">
        <v>1444</v>
      </c>
      <c r="N1267" s="752" t="s">
        <v>1445</v>
      </c>
      <c r="O1267" s="1477" t="s">
        <v>1673</v>
      </c>
      <c r="P1267" s="1477" t="s">
        <v>1307</v>
      </c>
      <c r="Q1267" s="1495" t="s">
        <v>1454</v>
      </c>
    </row>
    <row r="1268" spans="1:17" s="382" customFormat="1" ht="15.75" thickBot="1">
      <c r="A1268" s="1543"/>
      <c r="B1268" s="1545"/>
      <c r="C1268" s="1539"/>
      <c r="D1268" s="1539"/>
      <c r="E1268" s="1539"/>
      <c r="F1268" s="1473"/>
      <c r="G1268" s="1510"/>
      <c r="H1268" s="1478"/>
      <c r="I1268" s="1473"/>
      <c r="J1268" s="1473"/>
      <c r="K1268" s="1473"/>
      <c r="L1268" s="570" t="s">
        <v>805</v>
      </c>
      <c r="M1268" s="570" t="s">
        <v>805</v>
      </c>
      <c r="N1268" s="753" t="s">
        <v>1149</v>
      </c>
      <c r="O1268" s="1478"/>
      <c r="P1268" s="1478"/>
      <c r="Q1268" s="1496"/>
    </row>
    <row r="1269" spans="1:17" ht="81.75" customHeight="1">
      <c r="A1269" s="909" t="s">
        <v>736</v>
      </c>
      <c r="B1269" s="1231" t="s">
        <v>736</v>
      </c>
      <c r="C1269" s="759" t="s">
        <v>736</v>
      </c>
      <c r="D1269" s="758">
        <v>3040</v>
      </c>
      <c r="E1269" s="758">
        <f>1.1*D1269</f>
        <v>3344.0000000000005</v>
      </c>
      <c r="F1269" s="999" t="s">
        <v>325</v>
      </c>
      <c r="G1269" s="412" t="s">
        <v>427</v>
      </c>
      <c r="H1269" s="414" t="s">
        <v>160</v>
      </c>
      <c r="I1269" s="756">
        <v>1000</v>
      </c>
      <c r="J1269" s="756">
        <f>'preturi unitare'!H41</f>
        <v>165</v>
      </c>
      <c r="K1269" s="756">
        <f>I1269*J1269</f>
        <v>165000</v>
      </c>
      <c r="L1269" s="411">
        <f>K1269</f>
        <v>165000</v>
      </c>
      <c r="M1269" s="411">
        <v>0</v>
      </c>
      <c r="N1269" s="925">
        <v>0</v>
      </c>
      <c r="O1269" s="756">
        <f>L1269</f>
        <v>165000</v>
      </c>
      <c r="P1269" s="756">
        <f>O1269/D1269</f>
        <v>54.276315789473685</v>
      </c>
      <c r="Q1269" s="1047" t="s">
        <v>1660</v>
      </c>
    </row>
    <row r="1270" spans="1:17" s="378" customFormat="1">
      <c r="A1270" s="820"/>
      <c r="B1270" s="761"/>
      <c r="C1270" s="761"/>
      <c r="D1270" s="760"/>
      <c r="E1270" s="760"/>
      <c r="F1270" s="762"/>
      <c r="G1270" s="384"/>
      <c r="H1270" s="776"/>
      <c r="I1270" s="776"/>
      <c r="J1270" s="776"/>
      <c r="K1270" s="776"/>
      <c r="L1270" s="334"/>
      <c r="M1270" s="334"/>
      <c r="N1270" s="326"/>
      <c r="O1270" s="776"/>
      <c r="P1270" s="776"/>
      <c r="Q1270" s="587"/>
    </row>
    <row r="1271" spans="1:17">
      <c r="A1271" s="1532" t="s">
        <v>422</v>
      </c>
      <c r="B1271" s="1533"/>
      <c r="C1271" s="1533"/>
      <c r="D1271" s="1533"/>
      <c r="E1271" s="1533"/>
      <c r="F1271" s="1533"/>
      <c r="G1271" s="1534"/>
      <c r="H1271" s="364"/>
      <c r="I1271" s="364"/>
      <c r="J1271" s="364"/>
      <c r="K1271" s="364">
        <f>SUM(K1269:K1269)</f>
        <v>165000</v>
      </c>
      <c r="L1271" s="365">
        <f>SUM(L1269:L1269)</f>
        <v>165000</v>
      </c>
      <c r="M1271" s="365">
        <f>M1269</f>
        <v>0</v>
      </c>
      <c r="N1271" s="364">
        <f>SUM(N1269:N1269)</f>
        <v>0</v>
      </c>
      <c r="O1271" s="776"/>
      <c r="P1271" s="776"/>
      <c r="Q1271" s="587"/>
    </row>
    <row r="1272" spans="1:17">
      <c r="A1272" s="820"/>
      <c r="B1272" s="782"/>
      <c r="C1272" s="782"/>
      <c r="D1272" s="763"/>
      <c r="E1272" s="763"/>
      <c r="F1272" s="762"/>
      <c r="G1272" s="328"/>
      <c r="H1272" s="776"/>
      <c r="I1272" s="776"/>
      <c r="J1272" s="776"/>
      <c r="K1272" s="776"/>
      <c r="L1272" s="334"/>
      <c r="M1272" s="334"/>
      <c r="N1272" s="776"/>
      <c r="O1272" s="776"/>
      <c r="P1272" s="776"/>
      <c r="Q1272" s="587"/>
    </row>
    <row r="1273" spans="1:17" ht="15.75" customHeight="1" thickBot="1">
      <c r="A1273" s="1474" t="s">
        <v>423</v>
      </c>
      <c r="B1273" s="1475"/>
      <c r="C1273" s="1475"/>
      <c r="D1273" s="1475"/>
      <c r="E1273" s="1475"/>
      <c r="F1273" s="1475"/>
      <c r="G1273" s="1476"/>
      <c r="H1273" s="581"/>
      <c r="I1273" s="581"/>
      <c r="J1273" s="581"/>
      <c r="K1273" s="582">
        <f>K1271</f>
        <v>165000</v>
      </c>
      <c r="L1273" s="583">
        <f>L1271</f>
        <v>165000</v>
      </c>
      <c r="M1273" s="583">
        <f>M1271</f>
        <v>0</v>
      </c>
      <c r="N1273" s="582">
        <f>N1271</f>
        <v>0</v>
      </c>
      <c r="O1273" s="581"/>
      <c r="P1273" s="581"/>
      <c r="Q1273" s="816"/>
    </row>
    <row r="1274" spans="1:17" ht="15.75" thickBot="1">
      <c r="A1274" s="586"/>
      <c r="B1274" s="871"/>
      <c r="C1274" s="871"/>
      <c r="D1274" s="956"/>
      <c r="E1274" s="956"/>
      <c r="F1274" s="595"/>
      <c r="G1274" s="595"/>
      <c r="H1274" s="716"/>
      <c r="I1274" s="716"/>
      <c r="J1274" s="716"/>
      <c r="K1274" s="626"/>
      <c r="L1274" s="592"/>
      <c r="M1274" s="592"/>
      <c r="N1274" s="626"/>
      <c r="O1274" s="771"/>
      <c r="P1274" s="771"/>
      <c r="Q1274" s="586"/>
    </row>
    <row r="1275" spans="1:17" ht="15.75" thickBot="1">
      <c r="A1275" s="859"/>
      <c r="B1275" s="639"/>
      <c r="C1275" s="639"/>
      <c r="D1275" s="841"/>
      <c r="E1275" s="841"/>
      <c r="F1275" s="846"/>
      <c r="G1275" s="577" t="s">
        <v>1926</v>
      </c>
      <c r="H1275" s="872"/>
      <c r="I1275" s="873"/>
      <c r="J1275" s="641"/>
      <c r="K1275" s="639"/>
      <c r="L1275" s="640"/>
      <c r="M1275" s="640"/>
      <c r="N1275" s="639"/>
      <c r="O1275" s="841"/>
      <c r="P1275" s="841"/>
      <c r="Q1275" s="642"/>
    </row>
    <row r="1276" spans="1:17" ht="15.75" thickBot="1">
      <c r="A1276" s="833"/>
      <c r="B1276" s="355"/>
      <c r="C1276" s="355"/>
      <c r="D1276" s="898"/>
      <c r="E1276" s="898"/>
      <c r="F1276" s="356"/>
      <c r="G1276" s="576"/>
      <c r="H1276" s="358"/>
      <c r="I1276" s="358"/>
      <c r="J1276" s="358"/>
      <c r="K1276" s="358"/>
      <c r="L1276" s="359"/>
      <c r="M1276" s="359"/>
      <c r="N1276" s="358"/>
      <c r="O1276" s="770"/>
      <c r="P1276" s="770"/>
      <c r="Q1276" s="857"/>
    </row>
    <row r="1277" spans="1:17" ht="60" customHeight="1">
      <c r="A1277" s="1562" t="s">
        <v>1452</v>
      </c>
      <c r="B1277" s="1538" t="s">
        <v>676</v>
      </c>
      <c r="C1277" s="1564" t="s">
        <v>610</v>
      </c>
      <c r="D1277" s="1538" t="s">
        <v>611</v>
      </c>
      <c r="E1277" s="1538" t="s">
        <v>1453</v>
      </c>
      <c r="F1277" s="1472" t="s">
        <v>159</v>
      </c>
      <c r="G1277" s="1509" t="s">
        <v>110</v>
      </c>
      <c r="H1277" s="1477" t="s">
        <v>316</v>
      </c>
      <c r="I1277" s="1472" t="s">
        <v>315</v>
      </c>
      <c r="J1277" s="1472" t="s">
        <v>317</v>
      </c>
      <c r="K1277" s="1472" t="s">
        <v>318</v>
      </c>
      <c r="L1277" s="569" t="s">
        <v>1443</v>
      </c>
      <c r="M1277" s="569" t="s">
        <v>1444</v>
      </c>
      <c r="N1277" s="752" t="s">
        <v>1445</v>
      </c>
      <c r="O1277" s="1477" t="s">
        <v>1673</v>
      </c>
      <c r="P1277" s="1477" t="s">
        <v>1307</v>
      </c>
      <c r="Q1277" s="1495" t="s">
        <v>1454</v>
      </c>
    </row>
    <row r="1278" spans="1:17" ht="15.75" thickBot="1">
      <c r="A1278" s="1563"/>
      <c r="B1278" s="1539"/>
      <c r="C1278" s="1565"/>
      <c r="D1278" s="1539"/>
      <c r="E1278" s="1539"/>
      <c r="F1278" s="1473"/>
      <c r="G1278" s="1510"/>
      <c r="H1278" s="1478"/>
      <c r="I1278" s="1473"/>
      <c r="J1278" s="1473"/>
      <c r="K1278" s="1473"/>
      <c r="L1278" s="570" t="s">
        <v>805</v>
      </c>
      <c r="M1278" s="570" t="s">
        <v>805</v>
      </c>
      <c r="N1278" s="753" t="s">
        <v>1149</v>
      </c>
      <c r="O1278" s="1478"/>
      <c r="P1278" s="1478"/>
      <c r="Q1278" s="1496"/>
    </row>
    <row r="1279" spans="1:17" ht="90">
      <c r="A1279" s="783" t="s">
        <v>737</v>
      </c>
      <c r="B1279" s="765" t="s">
        <v>1504</v>
      </c>
      <c r="C1279" s="759" t="s">
        <v>737</v>
      </c>
      <c r="D1279" s="758">
        <v>1383</v>
      </c>
      <c r="E1279" s="758" t="s">
        <v>1451</v>
      </c>
      <c r="F1279" s="757" t="s">
        <v>322</v>
      </c>
      <c r="G1279" s="412" t="s">
        <v>538</v>
      </c>
      <c r="H1279" s="414" t="s">
        <v>160</v>
      </c>
      <c r="I1279" s="756">
        <v>2000</v>
      </c>
      <c r="J1279" s="756">
        <f>'preturi unitare'!H22</f>
        <v>64</v>
      </c>
      <c r="K1279" s="756">
        <f>I1279*J1279</f>
        <v>128000</v>
      </c>
      <c r="L1279" s="411">
        <f>K1279</f>
        <v>128000</v>
      </c>
      <c r="M1279" s="411">
        <v>0</v>
      </c>
      <c r="N1279" s="928">
        <v>0</v>
      </c>
      <c r="O1279" s="772">
        <f>L1279</f>
        <v>128000</v>
      </c>
      <c r="P1279" s="772">
        <f>O1279/D1279</f>
        <v>92.552422270426604</v>
      </c>
      <c r="Q1279" s="995" t="s">
        <v>1661</v>
      </c>
    </row>
    <row r="1280" spans="1:17">
      <c r="A1280" s="820"/>
      <c r="B1280" s="326"/>
      <c r="C1280" s="326"/>
      <c r="D1280" s="385"/>
      <c r="E1280" s="385"/>
      <c r="F1280" s="326"/>
      <c r="G1280" s="326"/>
      <c r="H1280" s="326"/>
      <c r="I1280" s="776"/>
      <c r="J1280" s="776"/>
      <c r="K1280" s="776"/>
      <c r="L1280" s="334"/>
      <c r="M1280" s="334"/>
      <c r="N1280" s="388"/>
      <c r="O1280" s="776"/>
      <c r="P1280" s="776"/>
      <c r="Q1280" s="587"/>
    </row>
    <row r="1281" spans="1:19" ht="16.5" customHeight="1">
      <c r="A1281" s="1469" t="s">
        <v>583</v>
      </c>
      <c r="B1281" s="1470"/>
      <c r="C1281" s="1470"/>
      <c r="D1281" s="1470"/>
      <c r="E1281" s="1470"/>
      <c r="F1281" s="1470"/>
      <c r="G1281" s="1471"/>
      <c r="H1281" s="793"/>
      <c r="I1281" s="776"/>
      <c r="J1281" s="776"/>
      <c r="K1281" s="364">
        <f>K1279</f>
        <v>128000</v>
      </c>
      <c r="L1281" s="365">
        <f>L1279</f>
        <v>128000</v>
      </c>
      <c r="M1281" s="365">
        <f>M1279</f>
        <v>0</v>
      </c>
      <c r="N1281" s="408">
        <f>N1279</f>
        <v>0</v>
      </c>
      <c r="O1281" s="776"/>
      <c r="P1281" s="776"/>
      <c r="Q1281" s="587"/>
      <c r="S1281" s="629"/>
    </row>
    <row r="1282" spans="1:19" ht="15.75" thickBot="1">
      <c r="A1282" s="833"/>
      <c r="B1282" s="397"/>
      <c r="C1282" s="397"/>
      <c r="D1282" s="768"/>
      <c r="E1282" s="768"/>
      <c r="F1282" s="766"/>
      <c r="G1282" s="417"/>
      <c r="H1282" s="732"/>
      <c r="I1282" s="732"/>
      <c r="J1282" s="732"/>
      <c r="K1282" s="732"/>
      <c r="L1282" s="426"/>
      <c r="M1282" s="426"/>
      <c r="N1282" s="955"/>
      <c r="O1282" s="770"/>
      <c r="P1282" s="770"/>
      <c r="Q1282" s="857"/>
    </row>
    <row r="1283" spans="1:19" s="382" customFormat="1" ht="60" customHeight="1">
      <c r="A1283" s="1542" t="s">
        <v>632</v>
      </c>
      <c r="B1283" s="1544" t="s">
        <v>617</v>
      </c>
      <c r="C1283" s="1538" t="s">
        <v>610</v>
      </c>
      <c r="D1283" s="1538" t="s">
        <v>611</v>
      </c>
      <c r="E1283" s="1538" t="s">
        <v>1453</v>
      </c>
      <c r="F1283" s="1472" t="s">
        <v>159</v>
      </c>
      <c r="G1283" s="1509" t="s">
        <v>110</v>
      </c>
      <c r="H1283" s="1477" t="s">
        <v>316</v>
      </c>
      <c r="I1283" s="1472" t="s">
        <v>315</v>
      </c>
      <c r="J1283" s="1472" t="s">
        <v>317</v>
      </c>
      <c r="K1283" s="1472" t="s">
        <v>318</v>
      </c>
      <c r="L1283" s="569" t="s">
        <v>1443</v>
      </c>
      <c r="M1283" s="569" t="s">
        <v>1444</v>
      </c>
      <c r="N1283" s="752" t="s">
        <v>1445</v>
      </c>
      <c r="O1283" s="1477" t="s">
        <v>1673</v>
      </c>
      <c r="P1283" s="1477" t="s">
        <v>1307</v>
      </c>
      <c r="Q1283" s="1495" t="s">
        <v>1454</v>
      </c>
    </row>
    <row r="1284" spans="1:19" s="382" customFormat="1" ht="15.75" thickBot="1">
      <c r="A1284" s="1543"/>
      <c r="B1284" s="1545"/>
      <c r="C1284" s="1539"/>
      <c r="D1284" s="1539"/>
      <c r="E1284" s="1539"/>
      <c r="F1284" s="1473"/>
      <c r="G1284" s="1510"/>
      <c r="H1284" s="1478"/>
      <c r="I1284" s="1473"/>
      <c r="J1284" s="1473"/>
      <c r="K1284" s="1473"/>
      <c r="L1284" s="570" t="s">
        <v>805</v>
      </c>
      <c r="M1284" s="570" t="s">
        <v>805</v>
      </c>
      <c r="N1284" s="753" t="s">
        <v>1149</v>
      </c>
      <c r="O1284" s="1478"/>
      <c r="P1284" s="1478"/>
      <c r="Q1284" s="1496"/>
    </row>
    <row r="1285" spans="1:19" ht="30">
      <c r="A1285" s="1736" t="s">
        <v>737</v>
      </c>
      <c r="B1285" s="1599" t="s">
        <v>1451</v>
      </c>
      <c r="C1285" s="1487" t="s">
        <v>737</v>
      </c>
      <c r="D1285" s="1607">
        <f>D1279</f>
        <v>1383</v>
      </c>
      <c r="E1285" s="1610">
        <f>D1285</f>
        <v>1383</v>
      </c>
      <c r="F1285" s="757" t="s">
        <v>323</v>
      </c>
      <c r="G1285" s="906" t="s">
        <v>1027</v>
      </c>
      <c r="H1285" s="414" t="s">
        <v>280</v>
      </c>
      <c r="I1285" s="756">
        <v>1</v>
      </c>
      <c r="J1285" s="756">
        <f>'preturi unitare'!O30</f>
        <v>198000</v>
      </c>
      <c r="K1285" s="756">
        <f>I1285*J1285</f>
        <v>198000</v>
      </c>
      <c r="L1285" s="427">
        <v>0</v>
      </c>
      <c r="M1285" s="411">
        <f>K1285</f>
        <v>198000</v>
      </c>
      <c r="N1285" s="429">
        <v>0</v>
      </c>
      <c r="O1285" s="1484">
        <f>SUM(M1285:M1286)</f>
        <v>1204500</v>
      </c>
      <c r="P1285" s="1484">
        <f>O1285/D1285</f>
        <v>870.93275488069412</v>
      </c>
      <c r="Q1285" s="1581" t="s">
        <v>1535</v>
      </c>
    </row>
    <row r="1286" spans="1:19" ht="30">
      <c r="A1286" s="1798"/>
      <c r="B1286" s="1567"/>
      <c r="C1286" s="1488"/>
      <c r="D1286" s="1602"/>
      <c r="E1286" s="1607"/>
      <c r="F1286" s="762" t="s">
        <v>325</v>
      </c>
      <c r="G1286" s="362" t="s">
        <v>428</v>
      </c>
      <c r="H1286" s="807" t="s">
        <v>160</v>
      </c>
      <c r="I1286" s="776">
        <v>6100</v>
      </c>
      <c r="J1286" s="776">
        <f>J1269</f>
        <v>165</v>
      </c>
      <c r="K1286" s="776">
        <f>I1286*J1286</f>
        <v>1006500</v>
      </c>
      <c r="L1286" s="334">
        <v>0</v>
      </c>
      <c r="M1286" s="334">
        <f>K1286</f>
        <v>1006500</v>
      </c>
      <c r="N1286" s="776">
        <v>0</v>
      </c>
      <c r="O1286" s="1483"/>
      <c r="P1286" s="1483"/>
      <c r="Q1286" s="1637"/>
    </row>
    <row r="1287" spans="1:19" s="378" customFormat="1">
      <c r="A1287" s="820"/>
      <c r="B1287" s="761"/>
      <c r="C1287" s="761"/>
      <c r="D1287" s="760"/>
      <c r="E1287" s="760"/>
      <c r="F1287" s="762"/>
      <c r="G1287" s="384"/>
      <c r="H1287" s="776"/>
      <c r="I1287" s="776"/>
      <c r="J1287" s="776"/>
      <c r="K1287" s="776"/>
      <c r="L1287" s="334"/>
      <c r="M1287" s="334"/>
      <c r="N1287" s="385"/>
      <c r="O1287" s="776"/>
      <c r="P1287" s="776"/>
      <c r="Q1287" s="587"/>
    </row>
    <row r="1288" spans="1:19">
      <c r="A1288" s="1532" t="s">
        <v>424</v>
      </c>
      <c r="B1288" s="1533"/>
      <c r="C1288" s="1533"/>
      <c r="D1288" s="1533"/>
      <c r="E1288" s="1533"/>
      <c r="F1288" s="1533"/>
      <c r="G1288" s="1534"/>
      <c r="H1288" s="364"/>
      <c r="I1288" s="364"/>
      <c r="J1288" s="364"/>
      <c r="K1288" s="364">
        <f>SUM(K1285:K1286)</f>
        <v>1204500</v>
      </c>
      <c r="L1288" s="365">
        <f>SUM(L1285:L1286)</f>
        <v>0</v>
      </c>
      <c r="M1288" s="365">
        <f>SUM(M1285:M1286)</f>
        <v>1204500</v>
      </c>
      <c r="N1288" s="364">
        <f>SUM(N1285:N1286)</f>
        <v>0</v>
      </c>
      <c r="O1288" s="776"/>
      <c r="P1288" s="776"/>
      <c r="Q1288" s="587"/>
    </row>
    <row r="1289" spans="1:19">
      <c r="A1289" s="820"/>
      <c r="B1289" s="782"/>
      <c r="C1289" s="782"/>
      <c r="D1289" s="763"/>
      <c r="E1289" s="763"/>
      <c r="F1289" s="762"/>
      <c r="G1289" s="328"/>
      <c r="H1289" s="776"/>
      <c r="I1289" s="776"/>
      <c r="J1289" s="776"/>
      <c r="K1289" s="776"/>
      <c r="L1289" s="334"/>
      <c r="M1289" s="334"/>
      <c r="N1289" s="776"/>
      <c r="O1289" s="776"/>
      <c r="P1289" s="776"/>
      <c r="Q1289" s="587"/>
    </row>
    <row r="1290" spans="1:19" ht="15.75" customHeight="1" thickBot="1">
      <c r="A1290" s="1474" t="s">
        <v>425</v>
      </c>
      <c r="B1290" s="1475"/>
      <c r="C1290" s="1475"/>
      <c r="D1290" s="1475"/>
      <c r="E1290" s="1475"/>
      <c r="F1290" s="1475"/>
      <c r="G1290" s="1476"/>
      <c r="H1290" s="581"/>
      <c r="I1290" s="581"/>
      <c r="J1290" s="581"/>
      <c r="K1290" s="582">
        <f>K1281+K1288</f>
        <v>1332500</v>
      </c>
      <c r="L1290" s="583">
        <f>L1281+L1288</f>
        <v>128000</v>
      </c>
      <c r="M1290" s="583">
        <f>M1281+M1288</f>
        <v>1204500</v>
      </c>
      <c r="N1290" s="582">
        <f>N1281+N1288</f>
        <v>0</v>
      </c>
      <c r="O1290" s="581"/>
      <c r="P1290" s="581"/>
      <c r="Q1290" s="816"/>
    </row>
    <row r="1291" spans="1:19" ht="15.75" thickBot="1">
      <c r="A1291" s="586"/>
      <c r="B1291" s="586"/>
      <c r="C1291" s="586"/>
      <c r="D1291" s="959"/>
      <c r="E1291" s="959"/>
      <c r="F1291" s="586"/>
      <c r="G1291" s="958"/>
      <c r="H1291" s="818"/>
      <c r="I1291" s="818"/>
      <c r="J1291" s="818"/>
      <c r="K1291" s="818"/>
      <c r="L1291" s="609"/>
      <c r="M1291" s="609"/>
      <c r="N1291" s="818"/>
      <c r="O1291" s="771"/>
      <c r="P1291" s="771"/>
      <c r="Q1291" s="586"/>
    </row>
    <row r="1292" spans="1:19" ht="15.75" thickBot="1">
      <c r="A1292" s="859"/>
      <c r="B1292" s="639"/>
      <c r="C1292" s="639"/>
      <c r="D1292" s="841"/>
      <c r="E1292" s="841"/>
      <c r="F1292" s="846"/>
      <c r="G1292" s="577" t="s">
        <v>1927</v>
      </c>
      <c r="H1292" s="872"/>
      <c r="I1292" s="873"/>
      <c r="J1292" s="641"/>
      <c r="K1292" s="639"/>
      <c r="L1292" s="640"/>
      <c r="M1292" s="640"/>
      <c r="N1292" s="639"/>
      <c r="O1292" s="841"/>
      <c r="P1292" s="841"/>
      <c r="Q1292" s="642"/>
    </row>
    <row r="1293" spans="1:19" ht="15.75" thickBot="1">
      <c r="A1293" s="833"/>
      <c r="B1293" s="355"/>
      <c r="C1293" s="355"/>
      <c r="D1293" s="898"/>
      <c r="E1293" s="898"/>
      <c r="F1293" s="356"/>
      <c r="G1293" s="576"/>
      <c r="H1293" s="358"/>
      <c r="I1293" s="358"/>
      <c r="J1293" s="358"/>
      <c r="K1293" s="358"/>
      <c r="L1293" s="359"/>
      <c r="M1293" s="359"/>
      <c r="N1293" s="358"/>
      <c r="O1293" s="770"/>
      <c r="P1293" s="770"/>
      <c r="Q1293" s="857"/>
    </row>
    <row r="1294" spans="1:19" ht="60" customHeight="1">
      <c r="A1294" s="1562" t="s">
        <v>1452</v>
      </c>
      <c r="B1294" s="1538" t="s">
        <v>676</v>
      </c>
      <c r="C1294" s="1564" t="s">
        <v>610</v>
      </c>
      <c r="D1294" s="1538" t="s">
        <v>611</v>
      </c>
      <c r="E1294" s="1538" t="s">
        <v>1453</v>
      </c>
      <c r="F1294" s="1472" t="s">
        <v>159</v>
      </c>
      <c r="G1294" s="1509" t="s">
        <v>110</v>
      </c>
      <c r="H1294" s="1477" t="s">
        <v>316</v>
      </c>
      <c r="I1294" s="1472" t="s">
        <v>315</v>
      </c>
      <c r="J1294" s="1472" t="s">
        <v>317</v>
      </c>
      <c r="K1294" s="1472" t="s">
        <v>318</v>
      </c>
      <c r="L1294" s="569" t="s">
        <v>1443</v>
      </c>
      <c r="M1294" s="569" t="s">
        <v>1444</v>
      </c>
      <c r="N1294" s="752" t="s">
        <v>1445</v>
      </c>
      <c r="O1294" s="1477" t="s">
        <v>1673</v>
      </c>
      <c r="P1294" s="1477" t="s">
        <v>1307</v>
      </c>
      <c r="Q1294" s="1495" t="s">
        <v>1454</v>
      </c>
    </row>
    <row r="1295" spans="1:19" ht="15.75" thickBot="1">
      <c r="A1295" s="1563"/>
      <c r="B1295" s="1539"/>
      <c r="C1295" s="1565"/>
      <c r="D1295" s="1539"/>
      <c r="E1295" s="1539"/>
      <c r="F1295" s="1473"/>
      <c r="G1295" s="1510"/>
      <c r="H1295" s="1478"/>
      <c r="I1295" s="1473"/>
      <c r="J1295" s="1473"/>
      <c r="K1295" s="1473"/>
      <c r="L1295" s="570" t="s">
        <v>805</v>
      </c>
      <c r="M1295" s="570" t="s">
        <v>805</v>
      </c>
      <c r="N1295" s="753" t="s">
        <v>1149</v>
      </c>
      <c r="O1295" s="1478"/>
      <c r="P1295" s="1478"/>
      <c r="Q1295" s="1496"/>
    </row>
    <row r="1296" spans="1:19" s="382" customFormat="1" ht="45" customHeight="1">
      <c r="A1296" s="1678" t="s">
        <v>739</v>
      </c>
      <c r="B1296" s="1611" t="s">
        <v>1505</v>
      </c>
      <c r="C1296" s="1611" t="s">
        <v>740</v>
      </c>
      <c r="D1296" s="1681">
        <f>1445+571+148+128+394</f>
        <v>2686</v>
      </c>
      <c r="E1296" s="1610" t="s">
        <v>1451</v>
      </c>
      <c r="F1296" s="757" t="s">
        <v>140</v>
      </c>
      <c r="G1296" s="412" t="s">
        <v>1032</v>
      </c>
      <c r="H1296" s="422" t="s">
        <v>280</v>
      </c>
      <c r="I1296" s="756">
        <v>1</v>
      </c>
      <c r="J1296" s="756">
        <f>'preturi unitare'!O4</f>
        <v>125000</v>
      </c>
      <c r="K1296" s="756">
        <f t="shared" ref="K1296:K1312" si="102">I1296*J1296</f>
        <v>125000</v>
      </c>
      <c r="L1296" s="411">
        <f t="shared" ref="L1296:L1301" si="103">K1296</f>
        <v>125000</v>
      </c>
      <c r="M1296" s="411">
        <v>0</v>
      </c>
      <c r="N1296" s="756">
        <v>0</v>
      </c>
      <c r="O1296" s="1839">
        <f>SUM(L1296:L1306)</f>
        <v>2434000</v>
      </c>
      <c r="P1296" s="1839">
        <f>O1296/D1296</f>
        <v>906.18019359642597</v>
      </c>
      <c r="Q1296" s="1572" t="s">
        <v>1662</v>
      </c>
    </row>
    <row r="1297" spans="1:17" s="382" customFormat="1" ht="45">
      <c r="A1297" s="1679"/>
      <c r="B1297" s="1626"/>
      <c r="C1297" s="1626"/>
      <c r="D1297" s="1627"/>
      <c r="E1297" s="1628"/>
      <c r="F1297" s="762" t="s">
        <v>319</v>
      </c>
      <c r="G1297" s="329" t="s">
        <v>1033</v>
      </c>
      <c r="H1297" s="807" t="s">
        <v>280</v>
      </c>
      <c r="I1297" s="776">
        <v>1</v>
      </c>
      <c r="J1297" s="776">
        <v>300000</v>
      </c>
      <c r="K1297" s="776">
        <f t="shared" si="102"/>
        <v>300000</v>
      </c>
      <c r="L1297" s="334">
        <f t="shared" si="103"/>
        <v>300000</v>
      </c>
      <c r="M1297" s="334">
        <v>0</v>
      </c>
      <c r="N1297" s="385">
        <v>0</v>
      </c>
      <c r="O1297" s="1686"/>
      <c r="P1297" s="1686"/>
      <c r="Q1297" s="1636"/>
    </row>
    <row r="1298" spans="1:17" s="382" customFormat="1" ht="30">
      <c r="A1298" s="1679"/>
      <c r="B1298" s="1626"/>
      <c r="C1298" s="1626"/>
      <c r="D1298" s="1627"/>
      <c r="E1298" s="1628"/>
      <c r="F1298" s="1600" t="s">
        <v>320</v>
      </c>
      <c r="G1298" s="329" t="s">
        <v>1034</v>
      </c>
      <c r="H1298" s="807" t="s">
        <v>160</v>
      </c>
      <c r="I1298" s="776">
        <v>2000</v>
      </c>
      <c r="J1298" s="776">
        <f>J1307</f>
        <v>68</v>
      </c>
      <c r="K1298" s="776">
        <f t="shared" si="102"/>
        <v>136000</v>
      </c>
      <c r="L1298" s="334">
        <f t="shared" si="103"/>
        <v>136000</v>
      </c>
      <c r="M1298" s="334">
        <v>0</v>
      </c>
      <c r="N1298" s="385">
        <v>0</v>
      </c>
      <c r="O1298" s="1686"/>
      <c r="P1298" s="1686"/>
      <c r="Q1298" s="1636"/>
    </row>
    <row r="1299" spans="1:17" s="382" customFormat="1" ht="30">
      <c r="A1299" s="1679"/>
      <c r="B1299" s="1626"/>
      <c r="C1299" s="1626"/>
      <c r="D1299" s="1627"/>
      <c r="E1299" s="1628"/>
      <c r="F1299" s="1600"/>
      <c r="G1299" s="329" t="s">
        <v>1035</v>
      </c>
      <c r="H1299" s="807" t="s">
        <v>160</v>
      </c>
      <c r="I1299" s="776">
        <v>2500</v>
      </c>
      <c r="J1299" s="776">
        <f>J1298</f>
        <v>68</v>
      </c>
      <c r="K1299" s="776">
        <f t="shared" si="102"/>
        <v>170000</v>
      </c>
      <c r="L1299" s="334">
        <f t="shared" si="103"/>
        <v>170000</v>
      </c>
      <c r="M1299" s="334">
        <v>0</v>
      </c>
      <c r="N1299" s="385">
        <v>0</v>
      </c>
      <c r="O1299" s="1686"/>
      <c r="P1299" s="1686"/>
      <c r="Q1299" s="1636"/>
    </row>
    <row r="1300" spans="1:17" s="382" customFormat="1" ht="30">
      <c r="A1300" s="1679"/>
      <c r="B1300" s="1626"/>
      <c r="C1300" s="1626"/>
      <c r="D1300" s="1627"/>
      <c r="E1300" s="1628"/>
      <c r="F1300" s="1600"/>
      <c r="G1300" s="329" t="s">
        <v>1036</v>
      </c>
      <c r="H1300" s="807" t="s">
        <v>160</v>
      </c>
      <c r="I1300" s="776">
        <v>500</v>
      </c>
      <c r="J1300" s="776">
        <f>'preturi unitare'!H23</f>
        <v>68</v>
      </c>
      <c r="K1300" s="776">
        <f t="shared" si="102"/>
        <v>34000</v>
      </c>
      <c r="L1300" s="334">
        <f t="shared" si="103"/>
        <v>34000</v>
      </c>
      <c r="M1300" s="334">
        <v>0</v>
      </c>
      <c r="N1300" s="385">
        <v>0</v>
      </c>
      <c r="O1300" s="1686"/>
      <c r="P1300" s="1686"/>
      <c r="Q1300" s="1636"/>
    </row>
    <row r="1301" spans="1:17" s="382" customFormat="1" ht="30">
      <c r="A1301" s="1679"/>
      <c r="B1301" s="1626"/>
      <c r="C1301" s="1626"/>
      <c r="D1301" s="1627"/>
      <c r="E1301" s="1628"/>
      <c r="F1301" s="1600" t="s">
        <v>322</v>
      </c>
      <c r="G1301" s="362" t="s">
        <v>1037</v>
      </c>
      <c r="H1301" s="807" t="s">
        <v>160</v>
      </c>
      <c r="I1301" s="776">
        <v>12000</v>
      </c>
      <c r="J1301" s="776">
        <f>J1308</f>
        <v>68</v>
      </c>
      <c r="K1301" s="776">
        <f t="shared" si="102"/>
        <v>816000</v>
      </c>
      <c r="L1301" s="334">
        <f t="shared" si="103"/>
        <v>816000</v>
      </c>
      <c r="M1301" s="334">
        <v>0</v>
      </c>
      <c r="N1301" s="385">
        <v>0</v>
      </c>
      <c r="O1301" s="1686"/>
      <c r="P1301" s="1686"/>
      <c r="Q1301" s="1636"/>
    </row>
    <row r="1302" spans="1:17" s="382" customFormat="1" ht="30">
      <c r="A1302" s="1679"/>
      <c r="B1302" s="1626"/>
      <c r="C1302" s="1626"/>
      <c r="D1302" s="1627"/>
      <c r="E1302" s="1628"/>
      <c r="F1302" s="1600"/>
      <c r="G1302" s="362" t="s">
        <v>1038</v>
      </c>
      <c r="H1302" s="807" t="s">
        <v>160</v>
      </c>
      <c r="I1302" s="776">
        <v>4000</v>
      </c>
      <c r="J1302" s="776">
        <f>'preturi unitare'!H22</f>
        <v>64</v>
      </c>
      <c r="K1302" s="776">
        <f t="shared" si="102"/>
        <v>256000</v>
      </c>
      <c r="L1302" s="334">
        <f t="shared" ref="L1302:L1309" si="104">K1302</f>
        <v>256000</v>
      </c>
      <c r="M1302" s="334">
        <v>0</v>
      </c>
      <c r="N1302" s="385">
        <v>0</v>
      </c>
      <c r="O1302" s="1686"/>
      <c r="P1302" s="1686"/>
      <c r="Q1302" s="1636"/>
    </row>
    <row r="1303" spans="1:17" s="382" customFormat="1" ht="30">
      <c r="A1303" s="1679"/>
      <c r="B1303" s="1626"/>
      <c r="C1303" s="1626"/>
      <c r="D1303" s="1627"/>
      <c r="E1303" s="1628"/>
      <c r="F1303" s="1600"/>
      <c r="G1303" s="362" t="s">
        <v>1039</v>
      </c>
      <c r="H1303" s="807" t="s">
        <v>160</v>
      </c>
      <c r="I1303" s="776">
        <v>4000</v>
      </c>
      <c r="J1303" s="776">
        <f>J1302</f>
        <v>64</v>
      </c>
      <c r="K1303" s="776">
        <f t="shared" si="102"/>
        <v>256000</v>
      </c>
      <c r="L1303" s="334">
        <f t="shared" si="104"/>
        <v>256000</v>
      </c>
      <c r="M1303" s="334">
        <v>0</v>
      </c>
      <c r="N1303" s="385">
        <v>0</v>
      </c>
      <c r="O1303" s="1686"/>
      <c r="P1303" s="1686"/>
      <c r="Q1303" s="1636"/>
    </row>
    <row r="1304" spans="1:17" s="382" customFormat="1" ht="30">
      <c r="A1304" s="1679"/>
      <c r="B1304" s="1626"/>
      <c r="C1304" s="1626"/>
      <c r="D1304" s="1627"/>
      <c r="E1304" s="1628"/>
      <c r="F1304" s="1600"/>
      <c r="G1304" s="362" t="s">
        <v>1040</v>
      </c>
      <c r="H1304" s="807" t="s">
        <v>160</v>
      </c>
      <c r="I1304" s="776">
        <v>1500</v>
      </c>
      <c r="J1304" s="776">
        <f>J1303</f>
        <v>64</v>
      </c>
      <c r="K1304" s="776">
        <f t="shared" si="102"/>
        <v>96000</v>
      </c>
      <c r="L1304" s="334">
        <f t="shared" si="104"/>
        <v>96000</v>
      </c>
      <c r="M1304" s="334">
        <v>0</v>
      </c>
      <c r="N1304" s="385">
        <v>0</v>
      </c>
      <c r="O1304" s="1686"/>
      <c r="P1304" s="1686"/>
      <c r="Q1304" s="1636"/>
    </row>
    <row r="1305" spans="1:17" s="382" customFormat="1" ht="30">
      <c r="A1305" s="1679"/>
      <c r="B1305" s="1626"/>
      <c r="C1305" s="1626"/>
      <c r="D1305" s="1627"/>
      <c r="E1305" s="1628"/>
      <c r="F1305" s="1600"/>
      <c r="G1305" s="362" t="s">
        <v>1041</v>
      </c>
      <c r="H1305" s="807" t="s">
        <v>160</v>
      </c>
      <c r="I1305" s="776">
        <v>2500</v>
      </c>
      <c r="J1305" s="776">
        <f>J1304</f>
        <v>64</v>
      </c>
      <c r="K1305" s="776">
        <f t="shared" si="102"/>
        <v>160000</v>
      </c>
      <c r="L1305" s="334">
        <f t="shared" si="104"/>
        <v>160000</v>
      </c>
      <c r="M1305" s="334">
        <v>0</v>
      </c>
      <c r="N1305" s="385">
        <v>0</v>
      </c>
      <c r="O1305" s="1686"/>
      <c r="P1305" s="1686"/>
      <c r="Q1305" s="1637"/>
    </row>
    <row r="1306" spans="1:17" s="382" customFormat="1" ht="45">
      <c r="A1306" s="1679"/>
      <c r="B1306" s="1599"/>
      <c r="C1306" s="1599"/>
      <c r="D1306" s="1598"/>
      <c r="E1306" s="1607"/>
      <c r="F1306" s="1320" t="s">
        <v>2112</v>
      </c>
      <c r="G1306" s="329" t="s">
        <v>2113</v>
      </c>
      <c r="H1306" s="807" t="s">
        <v>280</v>
      </c>
      <c r="I1306" s="1318">
        <v>1</v>
      </c>
      <c r="J1306" s="1318">
        <f>'preturi unitare'!E27+'preturi unitare'!E6</f>
        <v>85000</v>
      </c>
      <c r="K1306" s="1318">
        <f>J1306</f>
        <v>85000</v>
      </c>
      <c r="L1306" s="334">
        <f t="shared" si="104"/>
        <v>85000</v>
      </c>
      <c r="M1306" s="334">
        <v>0</v>
      </c>
      <c r="N1306" s="385">
        <v>0</v>
      </c>
      <c r="O1306" s="1484"/>
      <c r="P1306" s="1484"/>
      <c r="Q1306" s="1319"/>
    </row>
    <row r="1307" spans="1:17" s="382" customFormat="1" ht="45">
      <c r="A1307" s="1679"/>
      <c r="B1307" s="1488" t="s">
        <v>653</v>
      </c>
      <c r="C1307" s="1488" t="s">
        <v>741</v>
      </c>
      <c r="D1307" s="1577">
        <v>755</v>
      </c>
      <c r="E1307" s="1606" t="s">
        <v>1451</v>
      </c>
      <c r="F1307" s="762" t="s">
        <v>320</v>
      </c>
      <c r="G1307" s="329" t="s">
        <v>539</v>
      </c>
      <c r="H1307" s="807" t="s">
        <v>160</v>
      </c>
      <c r="I1307" s="776">
        <v>5400</v>
      </c>
      <c r="J1307" s="776">
        <f>'preturi unitare'!H23</f>
        <v>68</v>
      </c>
      <c r="K1307" s="776">
        <f t="shared" si="102"/>
        <v>367200</v>
      </c>
      <c r="L1307" s="334">
        <f t="shared" si="104"/>
        <v>367200</v>
      </c>
      <c r="M1307" s="334">
        <v>0</v>
      </c>
      <c r="N1307" s="385">
        <v>0</v>
      </c>
      <c r="O1307" s="1482">
        <f>SUM(L1307:L1309)</f>
        <v>909700</v>
      </c>
      <c r="P1307" s="1482">
        <f>O1307/D1307</f>
        <v>1204.9006622516556</v>
      </c>
      <c r="Q1307" s="1581" t="s">
        <v>1663</v>
      </c>
    </row>
    <row r="1308" spans="1:17" s="382" customFormat="1" ht="30">
      <c r="A1308" s="1679"/>
      <c r="B1308" s="1590"/>
      <c r="C1308" s="1488"/>
      <c r="D1308" s="1577"/>
      <c r="E1308" s="1627"/>
      <c r="F1308" s="762" t="s">
        <v>322</v>
      </c>
      <c r="G1308" s="362" t="s">
        <v>1042</v>
      </c>
      <c r="H1308" s="807" t="s">
        <v>160</v>
      </c>
      <c r="I1308" s="776">
        <v>7000</v>
      </c>
      <c r="J1308" s="776">
        <f>J1300</f>
        <v>68</v>
      </c>
      <c r="K1308" s="776">
        <f t="shared" si="102"/>
        <v>476000</v>
      </c>
      <c r="L1308" s="334">
        <f t="shared" si="104"/>
        <v>476000</v>
      </c>
      <c r="M1308" s="334">
        <v>0</v>
      </c>
      <c r="N1308" s="776">
        <v>0</v>
      </c>
      <c r="O1308" s="1482"/>
      <c r="P1308" s="1482"/>
      <c r="Q1308" s="1636"/>
    </row>
    <row r="1309" spans="1:17" s="382" customFormat="1" ht="47.25">
      <c r="A1309" s="1679"/>
      <c r="B1309" s="1590"/>
      <c r="C1309" s="1488"/>
      <c r="D1309" s="1577"/>
      <c r="E1309" s="1598"/>
      <c r="F1309" s="762" t="s">
        <v>279</v>
      </c>
      <c r="G1309" s="329" t="s">
        <v>1043</v>
      </c>
      <c r="H1309" s="653" t="s">
        <v>280</v>
      </c>
      <c r="I1309" s="776">
        <v>1</v>
      </c>
      <c r="J1309" s="776">
        <f>'preturi unitare'!E26+'preturi unitare'!E6</f>
        <v>66500</v>
      </c>
      <c r="K1309" s="776">
        <f t="shared" si="102"/>
        <v>66500</v>
      </c>
      <c r="L1309" s="334">
        <f t="shared" si="104"/>
        <v>66500</v>
      </c>
      <c r="M1309" s="334">
        <v>0</v>
      </c>
      <c r="N1309" s="385">
        <v>0</v>
      </c>
      <c r="O1309" s="1482"/>
      <c r="P1309" s="1482"/>
      <c r="Q1309" s="1637"/>
    </row>
    <row r="1310" spans="1:17" s="382" customFormat="1" ht="30">
      <c r="A1310" s="1679"/>
      <c r="B1310" s="1701" t="s">
        <v>1505</v>
      </c>
      <c r="C1310" s="1625" t="s">
        <v>1973</v>
      </c>
      <c r="D1310" s="1577">
        <v>94</v>
      </c>
      <c r="E1310" s="1517" t="s">
        <v>1451</v>
      </c>
      <c r="F1310" s="762" t="s">
        <v>140</v>
      </c>
      <c r="G1310" s="328" t="s">
        <v>431</v>
      </c>
      <c r="H1310" s="754" t="s">
        <v>280</v>
      </c>
      <c r="I1310" s="776">
        <v>1</v>
      </c>
      <c r="J1310" s="776">
        <f>'preturi unitare'!K4</f>
        <v>89000</v>
      </c>
      <c r="K1310" s="776">
        <f t="shared" si="102"/>
        <v>89000</v>
      </c>
      <c r="L1310" s="334">
        <f>K1310</f>
        <v>89000</v>
      </c>
      <c r="M1310" s="334">
        <v>0</v>
      </c>
      <c r="N1310" s="616">
        <v>0</v>
      </c>
      <c r="O1310" s="1483">
        <f>SUM(L1310:L1312)</f>
        <v>89000</v>
      </c>
      <c r="P1310" s="1483">
        <f>O1310/D1310</f>
        <v>946.80851063829789</v>
      </c>
      <c r="Q1310" s="1581" t="s">
        <v>1664</v>
      </c>
    </row>
    <row r="1311" spans="1:17" s="382" customFormat="1" ht="30">
      <c r="A1311" s="1679"/>
      <c r="B1311" s="1701"/>
      <c r="C1311" s="1626"/>
      <c r="D1311" s="1577"/>
      <c r="E1311" s="1518"/>
      <c r="F1311" s="762" t="s">
        <v>322</v>
      </c>
      <c r="G1311" s="362" t="s">
        <v>1044</v>
      </c>
      <c r="H1311" s="807" t="s">
        <v>160</v>
      </c>
      <c r="I1311" s="776">
        <v>2000</v>
      </c>
      <c r="J1311" s="776">
        <f>J1305</f>
        <v>64</v>
      </c>
      <c r="K1311" s="776">
        <f t="shared" si="102"/>
        <v>128000</v>
      </c>
      <c r="L1311" s="334">
        <v>0</v>
      </c>
      <c r="M1311" s="334">
        <f>K1311</f>
        <v>128000</v>
      </c>
      <c r="N1311" s="385">
        <v>0</v>
      </c>
      <c r="O1311" s="1483"/>
      <c r="P1311" s="1483"/>
      <c r="Q1311" s="1636"/>
    </row>
    <row r="1312" spans="1:17" s="382" customFormat="1" ht="47.25">
      <c r="A1312" s="1679"/>
      <c r="B1312" s="1701"/>
      <c r="C1312" s="1599"/>
      <c r="D1312" s="1577"/>
      <c r="E1312" s="1519"/>
      <c r="F1312" s="762" t="s">
        <v>279</v>
      </c>
      <c r="G1312" s="329" t="s">
        <v>1045</v>
      </c>
      <c r="H1312" s="653" t="s">
        <v>280</v>
      </c>
      <c r="I1312" s="776">
        <v>1</v>
      </c>
      <c r="J1312" s="776">
        <f>'preturi unitare'!E31+'preturi unitare'!E6</f>
        <v>48000</v>
      </c>
      <c r="K1312" s="776">
        <f t="shared" si="102"/>
        <v>48000</v>
      </c>
      <c r="L1312" s="334">
        <v>0</v>
      </c>
      <c r="M1312" s="334">
        <f>K1312</f>
        <v>48000</v>
      </c>
      <c r="N1312" s="385">
        <v>0</v>
      </c>
      <c r="O1312" s="1483"/>
      <c r="P1312" s="1483"/>
      <c r="Q1312" s="1637"/>
    </row>
    <row r="1313" spans="1:19">
      <c r="A1313" s="820"/>
      <c r="B1313" s="326"/>
      <c r="C1313" s="326"/>
      <c r="D1313" s="385"/>
      <c r="E1313" s="385"/>
      <c r="F1313" s="326"/>
      <c r="G1313" s="326"/>
      <c r="H1313" s="326"/>
      <c r="I1313" s="776"/>
      <c r="J1313" s="776"/>
      <c r="K1313" s="776"/>
      <c r="L1313" s="334"/>
      <c r="M1313" s="334"/>
      <c r="N1313" s="326"/>
      <c r="O1313" s="777"/>
      <c r="P1313" s="777"/>
      <c r="Q1313" s="587"/>
    </row>
    <row r="1314" spans="1:19">
      <c r="A1314" s="1532" t="s">
        <v>584</v>
      </c>
      <c r="B1314" s="1533"/>
      <c r="C1314" s="1533"/>
      <c r="D1314" s="1533"/>
      <c r="E1314" s="1533"/>
      <c r="F1314" s="1533"/>
      <c r="G1314" s="1534"/>
      <c r="H1314" s="793"/>
      <c r="I1314" s="776"/>
      <c r="J1314" s="776"/>
      <c r="K1314" s="364">
        <f>SUM(K1296:K1312)</f>
        <v>3608700</v>
      </c>
      <c r="L1314" s="365">
        <f>SUM(L1296:L1312)</f>
        <v>3432700</v>
      </c>
      <c r="M1314" s="365">
        <f>SUM(M1296:M1312)</f>
        <v>176000</v>
      </c>
      <c r="N1314" s="364">
        <f>SUM(N1296:N1312)</f>
        <v>0</v>
      </c>
      <c r="O1314" s="776"/>
      <c r="P1314" s="776"/>
      <c r="Q1314" s="587"/>
      <c r="S1314" s="629"/>
    </row>
    <row r="1315" spans="1:19" ht="15.75" thickBot="1">
      <c r="A1315" s="833"/>
      <c r="B1315" s="397"/>
      <c r="C1315" s="397"/>
      <c r="D1315" s="768"/>
      <c r="E1315" s="768"/>
      <c r="F1315" s="766"/>
      <c r="G1315" s="417"/>
      <c r="H1315" s="732"/>
      <c r="I1315" s="732"/>
      <c r="J1315" s="732"/>
      <c r="K1315" s="732"/>
      <c r="L1315" s="426"/>
      <c r="M1315" s="426"/>
      <c r="N1315" s="418"/>
      <c r="O1315" s="770"/>
      <c r="P1315" s="770"/>
      <c r="Q1315" s="857"/>
    </row>
    <row r="1316" spans="1:19" s="382" customFormat="1" ht="60" customHeight="1">
      <c r="A1316" s="1542" t="s">
        <v>632</v>
      </c>
      <c r="B1316" s="1544" t="s">
        <v>617</v>
      </c>
      <c r="C1316" s="1538" t="s">
        <v>610</v>
      </c>
      <c r="D1316" s="1538" t="s">
        <v>611</v>
      </c>
      <c r="E1316" s="1538" t="s">
        <v>1453</v>
      </c>
      <c r="F1316" s="1472" t="s">
        <v>159</v>
      </c>
      <c r="G1316" s="1509" t="s">
        <v>110</v>
      </c>
      <c r="H1316" s="1477" t="s">
        <v>316</v>
      </c>
      <c r="I1316" s="1472" t="s">
        <v>315</v>
      </c>
      <c r="J1316" s="1472" t="s">
        <v>317</v>
      </c>
      <c r="K1316" s="1472" t="s">
        <v>318</v>
      </c>
      <c r="L1316" s="569" t="s">
        <v>1443</v>
      </c>
      <c r="M1316" s="569" t="s">
        <v>1444</v>
      </c>
      <c r="N1316" s="752" t="s">
        <v>1445</v>
      </c>
      <c r="O1316" s="1477" t="s">
        <v>1673</v>
      </c>
      <c r="P1316" s="1477" t="s">
        <v>1307</v>
      </c>
      <c r="Q1316" s="1495" t="s">
        <v>1454</v>
      </c>
    </row>
    <row r="1317" spans="1:19" s="382" customFormat="1" ht="15.75" thickBot="1">
      <c r="A1317" s="1543"/>
      <c r="B1317" s="1545"/>
      <c r="C1317" s="1539"/>
      <c r="D1317" s="1539"/>
      <c r="E1317" s="1539"/>
      <c r="F1317" s="1473"/>
      <c r="G1317" s="1510"/>
      <c r="H1317" s="1478"/>
      <c r="I1317" s="1473"/>
      <c r="J1317" s="1473"/>
      <c r="K1317" s="1473"/>
      <c r="L1317" s="570" t="s">
        <v>805</v>
      </c>
      <c r="M1317" s="570" t="s">
        <v>805</v>
      </c>
      <c r="N1317" s="753" t="s">
        <v>1149</v>
      </c>
      <c r="O1317" s="1478"/>
      <c r="P1317" s="1478"/>
      <c r="Q1317" s="1496"/>
    </row>
    <row r="1318" spans="1:19" s="373" customFormat="1" ht="45" customHeight="1">
      <c r="A1318" s="1635" t="s">
        <v>739</v>
      </c>
      <c r="B1318" s="1599" t="s">
        <v>1451</v>
      </c>
      <c r="C1318" s="1566" t="s">
        <v>1744</v>
      </c>
      <c r="D1318" s="1516">
        <v>1445</v>
      </c>
      <c r="E1318" s="1516">
        <f>D1318</f>
        <v>1445</v>
      </c>
      <c r="F1318" s="743" t="s">
        <v>323</v>
      </c>
      <c r="G1318" s="1080" t="s">
        <v>1745</v>
      </c>
      <c r="H1318" s="1116" t="s">
        <v>280</v>
      </c>
      <c r="I1318" s="1120">
        <v>1</v>
      </c>
      <c r="J1318" s="1120">
        <f>'preturi unitare'!O31</f>
        <v>214000</v>
      </c>
      <c r="K1318" s="1120">
        <f t="shared" ref="K1318:K1328" si="105">I1318*J1318</f>
        <v>214000</v>
      </c>
      <c r="L1318" s="939">
        <v>0</v>
      </c>
      <c r="M1318" s="939">
        <f>K1318</f>
        <v>214000</v>
      </c>
      <c r="N1318" s="1288">
        <v>0</v>
      </c>
      <c r="O1318" s="1591">
        <f>SUM(K1318:K1319)</f>
        <v>2062000</v>
      </c>
      <c r="P1318" s="1591">
        <f>O1318/E1318</f>
        <v>1426.9896193771626</v>
      </c>
      <c r="Q1318" s="1582" t="s">
        <v>1746</v>
      </c>
    </row>
    <row r="1319" spans="1:19" s="373" customFormat="1" ht="30">
      <c r="A1319" s="1568"/>
      <c r="B1319" s="1701"/>
      <c r="C1319" s="1567"/>
      <c r="D1319" s="1514"/>
      <c r="E1319" s="1514"/>
      <c r="F1319" s="1128" t="s">
        <v>325</v>
      </c>
      <c r="G1319" s="362" t="s">
        <v>1046</v>
      </c>
      <c r="H1319" s="807" t="s">
        <v>160</v>
      </c>
      <c r="I1319" s="1119">
        <v>12000</v>
      </c>
      <c r="J1319" s="1119">
        <f>J1324</f>
        <v>154</v>
      </c>
      <c r="K1319" s="1121">
        <f t="shared" si="105"/>
        <v>1848000</v>
      </c>
      <c r="L1319" s="334">
        <v>0</v>
      </c>
      <c r="M1319" s="334">
        <f t="shared" ref="M1319:M1326" si="106">K1319</f>
        <v>1848000</v>
      </c>
      <c r="N1319" s="1283">
        <v>0</v>
      </c>
      <c r="O1319" s="1515"/>
      <c r="P1319" s="1515"/>
      <c r="Q1319" s="1583"/>
    </row>
    <row r="1320" spans="1:19" s="373" customFormat="1" ht="45">
      <c r="A1320" s="1568"/>
      <c r="B1320" s="1701"/>
      <c r="C1320" s="1033" t="s">
        <v>1747</v>
      </c>
      <c r="D1320" s="1046">
        <v>148</v>
      </c>
      <c r="E1320" s="1046">
        <f>D1320</f>
        <v>148</v>
      </c>
      <c r="F1320" s="1128" t="s">
        <v>323</v>
      </c>
      <c r="G1320" s="329" t="s">
        <v>1748</v>
      </c>
      <c r="H1320" s="807" t="s">
        <v>1322</v>
      </c>
      <c r="I1320" s="1119">
        <v>1</v>
      </c>
      <c r="J1320" s="1119">
        <f>'preturi unitare'!N4</f>
        <v>70000</v>
      </c>
      <c r="K1320" s="1121">
        <f t="shared" si="105"/>
        <v>70000</v>
      </c>
      <c r="L1320" s="334">
        <v>0</v>
      </c>
      <c r="M1320" s="334">
        <f>K1320</f>
        <v>70000</v>
      </c>
      <c r="N1320" s="1283">
        <v>0</v>
      </c>
      <c r="O1320" s="1034">
        <f>K1320</f>
        <v>70000</v>
      </c>
      <c r="P1320" s="1034">
        <f>O1320/E1320</f>
        <v>472.97297297297297</v>
      </c>
      <c r="Q1320" s="981" t="s">
        <v>1751</v>
      </c>
    </row>
    <row r="1321" spans="1:19" s="373" customFormat="1" ht="30">
      <c r="A1321" s="1568"/>
      <c r="B1321" s="1701"/>
      <c r="C1321" s="1567" t="s">
        <v>1749</v>
      </c>
      <c r="D1321" s="1514">
        <v>394</v>
      </c>
      <c r="E1321" s="1514">
        <f>D1321</f>
        <v>394</v>
      </c>
      <c r="F1321" s="1128" t="s">
        <v>323</v>
      </c>
      <c r="G1321" s="329" t="s">
        <v>1750</v>
      </c>
      <c r="H1321" s="807" t="s">
        <v>280</v>
      </c>
      <c r="I1321" s="1119">
        <v>1</v>
      </c>
      <c r="J1321" s="1119">
        <f>'preturi unitare'!O25</f>
        <v>92000</v>
      </c>
      <c r="K1321" s="1121">
        <f t="shared" si="105"/>
        <v>92000</v>
      </c>
      <c r="L1321" s="334">
        <v>0</v>
      </c>
      <c r="M1321" s="334">
        <f t="shared" si="106"/>
        <v>92000</v>
      </c>
      <c r="N1321" s="1283">
        <v>0</v>
      </c>
      <c r="O1321" s="1515">
        <f>SUM(M1321:M1322)</f>
        <v>708000</v>
      </c>
      <c r="P1321" s="1515">
        <f>O1321/E1321</f>
        <v>1796.9543147208121</v>
      </c>
      <c r="Q1321" s="1548" t="s">
        <v>1752</v>
      </c>
    </row>
    <row r="1322" spans="1:19" s="373" customFormat="1" ht="30">
      <c r="A1322" s="1568"/>
      <c r="B1322" s="1701"/>
      <c r="C1322" s="1567"/>
      <c r="D1322" s="1514"/>
      <c r="E1322" s="1514"/>
      <c r="F1322" s="1128" t="s">
        <v>325</v>
      </c>
      <c r="G1322" s="362" t="s">
        <v>1047</v>
      </c>
      <c r="H1322" s="807" t="s">
        <v>160</v>
      </c>
      <c r="I1322" s="1119">
        <v>4000</v>
      </c>
      <c r="J1322" s="1119">
        <f>'preturi unitare'!H40</f>
        <v>154</v>
      </c>
      <c r="K1322" s="1121">
        <f t="shared" si="105"/>
        <v>616000</v>
      </c>
      <c r="L1322" s="334">
        <v>0</v>
      </c>
      <c r="M1322" s="334">
        <f t="shared" si="106"/>
        <v>616000</v>
      </c>
      <c r="N1322" s="1283">
        <v>0</v>
      </c>
      <c r="O1322" s="1515"/>
      <c r="P1322" s="1515"/>
      <c r="Q1322" s="1569"/>
    </row>
    <row r="1323" spans="1:19" s="373" customFormat="1" ht="30" customHeight="1">
      <c r="A1323" s="1568"/>
      <c r="B1323" s="1567" t="s">
        <v>1451</v>
      </c>
      <c r="C1323" s="1567" t="s">
        <v>742</v>
      </c>
      <c r="D1323" s="1514">
        <f>D1307</f>
        <v>755</v>
      </c>
      <c r="E1323" s="1541">
        <f>D1323</f>
        <v>755</v>
      </c>
      <c r="F1323" s="1128" t="s">
        <v>323</v>
      </c>
      <c r="G1323" s="362" t="s">
        <v>1742</v>
      </c>
      <c r="H1323" s="807" t="s">
        <v>280</v>
      </c>
      <c r="I1323" s="1119">
        <v>1</v>
      </c>
      <c r="J1323" s="1119">
        <f>'preturi unitare'!O28</f>
        <v>120000</v>
      </c>
      <c r="K1323" s="1121">
        <f t="shared" si="105"/>
        <v>120000</v>
      </c>
      <c r="L1323" s="334">
        <v>0</v>
      </c>
      <c r="M1323" s="334">
        <f t="shared" si="106"/>
        <v>120000</v>
      </c>
      <c r="N1323" s="1283">
        <v>0</v>
      </c>
      <c r="O1323" s="1515">
        <f>SUM(M1323:M1324)</f>
        <v>736000</v>
      </c>
      <c r="P1323" s="1515">
        <f>O1323/E1323</f>
        <v>974.83443708609275</v>
      </c>
      <c r="Q1323" s="1641" t="s">
        <v>1743</v>
      </c>
    </row>
    <row r="1324" spans="1:19" s="373" customFormat="1" ht="30">
      <c r="A1324" s="1568"/>
      <c r="B1324" s="1701"/>
      <c r="C1324" s="1567"/>
      <c r="D1324" s="1514"/>
      <c r="E1324" s="1514"/>
      <c r="F1324" s="1128" t="s">
        <v>325</v>
      </c>
      <c r="G1324" s="329" t="s">
        <v>1330</v>
      </c>
      <c r="H1324" s="807" t="s">
        <v>160</v>
      </c>
      <c r="I1324" s="1119">
        <v>4000</v>
      </c>
      <c r="J1324" s="1119">
        <f>'preturi unitare'!H40</f>
        <v>154</v>
      </c>
      <c r="K1324" s="1121">
        <f t="shared" si="105"/>
        <v>616000</v>
      </c>
      <c r="L1324" s="334">
        <v>0</v>
      </c>
      <c r="M1324" s="334">
        <f t="shared" si="106"/>
        <v>616000</v>
      </c>
      <c r="N1324" s="1283">
        <v>0</v>
      </c>
      <c r="O1324" s="1515"/>
      <c r="P1324" s="1515"/>
      <c r="Q1324" s="1583"/>
    </row>
    <row r="1325" spans="1:19" s="373" customFormat="1" ht="30">
      <c r="A1325" s="1568"/>
      <c r="B1325" s="1567" t="s">
        <v>1451</v>
      </c>
      <c r="C1325" s="1567" t="s">
        <v>743</v>
      </c>
      <c r="D1325" s="1514">
        <v>571</v>
      </c>
      <c r="E1325" s="1514">
        <f>D1325</f>
        <v>571</v>
      </c>
      <c r="F1325" s="1128" t="s">
        <v>323</v>
      </c>
      <c r="G1325" s="362" t="s">
        <v>1048</v>
      </c>
      <c r="H1325" s="807" t="s">
        <v>280</v>
      </c>
      <c r="I1325" s="1119">
        <v>1</v>
      </c>
      <c r="J1325" s="1119">
        <f>'preturi unitare'!O26</f>
        <v>94000</v>
      </c>
      <c r="K1325" s="1121">
        <f t="shared" si="105"/>
        <v>94000</v>
      </c>
      <c r="L1325" s="334">
        <v>0</v>
      </c>
      <c r="M1325" s="334">
        <f t="shared" si="106"/>
        <v>94000</v>
      </c>
      <c r="N1325" s="1283">
        <v>0</v>
      </c>
      <c r="O1325" s="1515">
        <f>SUM(M1325:M1326)</f>
        <v>710000</v>
      </c>
      <c r="P1325" s="1515">
        <f>O1325/E1325</f>
        <v>1243.432574430823</v>
      </c>
      <c r="Q1325" s="1641" t="s">
        <v>1536</v>
      </c>
    </row>
    <row r="1326" spans="1:19" s="373" customFormat="1" ht="30">
      <c r="A1326" s="1568"/>
      <c r="B1326" s="1701"/>
      <c r="C1326" s="1567"/>
      <c r="D1326" s="1514"/>
      <c r="E1326" s="1514"/>
      <c r="F1326" s="1128" t="s">
        <v>325</v>
      </c>
      <c r="G1326" s="362" t="s">
        <v>1049</v>
      </c>
      <c r="H1326" s="807" t="s">
        <v>160</v>
      </c>
      <c r="I1326" s="1119">
        <v>4000</v>
      </c>
      <c r="J1326" s="1119">
        <f>J1322</f>
        <v>154</v>
      </c>
      <c r="K1326" s="1121">
        <f t="shared" si="105"/>
        <v>616000</v>
      </c>
      <c r="L1326" s="334">
        <v>0</v>
      </c>
      <c r="M1326" s="334">
        <f t="shared" si="106"/>
        <v>616000</v>
      </c>
      <c r="N1326" s="1283">
        <v>0</v>
      </c>
      <c r="O1326" s="1515"/>
      <c r="P1326" s="1515"/>
      <c r="Q1326" s="1583"/>
    </row>
    <row r="1327" spans="1:19" s="373" customFormat="1" ht="30" customHeight="1">
      <c r="A1327" s="1568"/>
      <c r="B1327" s="751" t="s">
        <v>1451</v>
      </c>
      <c r="C1327" s="1033" t="s">
        <v>744</v>
      </c>
      <c r="D1327" s="1046">
        <v>128</v>
      </c>
      <c r="E1327" s="1046">
        <f>D1327</f>
        <v>128</v>
      </c>
      <c r="F1327" s="1128" t="s">
        <v>323</v>
      </c>
      <c r="G1327" s="362" t="s">
        <v>604</v>
      </c>
      <c r="H1327" s="807" t="s">
        <v>1322</v>
      </c>
      <c r="I1327" s="1119">
        <v>1</v>
      </c>
      <c r="J1327" s="1119">
        <f>'preturi unitare'!L4</f>
        <v>70000</v>
      </c>
      <c r="K1327" s="1121">
        <f t="shared" si="105"/>
        <v>70000</v>
      </c>
      <c r="L1327" s="334">
        <v>0</v>
      </c>
      <c r="M1327" s="334">
        <f>K1327</f>
        <v>70000</v>
      </c>
      <c r="N1327" s="1283">
        <v>0</v>
      </c>
      <c r="O1327" s="1034">
        <f>K1327</f>
        <v>70000</v>
      </c>
      <c r="P1327" s="1034">
        <f>O1327/D1327</f>
        <v>546.875</v>
      </c>
      <c r="Q1327" s="981" t="s">
        <v>1537</v>
      </c>
    </row>
    <row r="1328" spans="1:19" s="373" customFormat="1" ht="45">
      <c r="A1328" s="1568"/>
      <c r="B1328" s="751" t="s">
        <v>1451</v>
      </c>
      <c r="C1328" s="1033" t="s">
        <v>745</v>
      </c>
      <c r="D1328" s="1046">
        <v>94</v>
      </c>
      <c r="E1328" s="1046">
        <f>D1328</f>
        <v>94</v>
      </c>
      <c r="F1328" s="1128" t="s">
        <v>323</v>
      </c>
      <c r="G1328" s="329" t="s">
        <v>605</v>
      </c>
      <c r="H1328" s="807" t="s">
        <v>1322</v>
      </c>
      <c r="I1328" s="1119">
        <v>1</v>
      </c>
      <c r="J1328" s="807">
        <f>J1327</f>
        <v>70000</v>
      </c>
      <c r="K1328" s="1121">
        <f t="shared" si="105"/>
        <v>70000</v>
      </c>
      <c r="L1328" s="334">
        <v>0</v>
      </c>
      <c r="M1328" s="334">
        <f>K1328</f>
        <v>70000</v>
      </c>
      <c r="N1328" s="1283">
        <v>0</v>
      </c>
      <c r="O1328" s="1034">
        <f>K1328</f>
        <v>70000</v>
      </c>
      <c r="P1328" s="1034">
        <f>O1328/D1328</f>
        <v>744.68085106382978</v>
      </c>
      <c r="Q1328" s="981" t="s">
        <v>1538</v>
      </c>
    </row>
    <row r="1329" spans="1:17" s="380" customFormat="1">
      <c r="A1329" s="820"/>
      <c r="B1329" s="761"/>
      <c r="C1329" s="761"/>
      <c r="D1329" s="760"/>
      <c r="E1329" s="760"/>
      <c r="F1329" s="1128"/>
      <c r="G1329" s="384"/>
      <c r="H1329" s="1119"/>
      <c r="I1329" s="1119"/>
      <c r="J1329" s="1119"/>
      <c r="K1329" s="1119"/>
      <c r="L1329" s="334"/>
      <c r="M1329" s="334"/>
      <c r="N1329" s="776"/>
      <c r="O1329" s="776"/>
      <c r="P1329" s="776"/>
      <c r="Q1329" s="587"/>
    </row>
    <row r="1330" spans="1:17">
      <c r="A1330" s="1532" t="s">
        <v>429</v>
      </c>
      <c r="B1330" s="1533"/>
      <c r="C1330" s="1533"/>
      <c r="D1330" s="1533"/>
      <c r="E1330" s="1533"/>
      <c r="F1330" s="1533"/>
      <c r="G1330" s="1534"/>
      <c r="H1330" s="364"/>
      <c r="I1330" s="364"/>
      <c r="J1330" s="364"/>
      <c r="K1330" s="364">
        <f>SUM(K1318:K1328)</f>
        <v>4426000</v>
      </c>
      <c r="L1330" s="365">
        <f>SUM(L1318:L1328)</f>
        <v>0</v>
      </c>
      <c r="M1330" s="365">
        <f>SUM(M1318:M1328)</f>
        <v>4426000</v>
      </c>
      <c r="N1330" s="364">
        <f>SUM(N1318:N1328)</f>
        <v>0</v>
      </c>
      <c r="O1330" s="776"/>
      <c r="P1330" s="776"/>
      <c r="Q1330" s="587"/>
    </row>
    <row r="1331" spans="1:17">
      <c r="A1331" s="820"/>
      <c r="B1331" s="782"/>
      <c r="C1331" s="782"/>
      <c r="D1331" s="763"/>
      <c r="E1331" s="763"/>
      <c r="F1331" s="762"/>
      <c r="G1331" s="328"/>
      <c r="H1331" s="776"/>
      <c r="I1331" s="776"/>
      <c r="J1331" s="776"/>
      <c r="K1331" s="776"/>
      <c r="L1331" s="334"/>
      <c r="M1331" s="334"/>
      <c r="N1331" s="776"/>
      <c r="O1331" s="776"/>
      <c r="P1331" s="776"/>
      <c r="Q1331" s="587"/>
    </row>
    <row r="1332" spans="1:17" ht="15.75" customHeight="1" thickBot="1">
      <c r="A1332" s="1474" t="s">
        <v>430</v>
      </c>
      <c r="B1332" s="1475"/>
      <c r="C1332" s="1475"/>
      <c r="D1332" s="1475"/>
      <c r="E1332" s="1475"/>
      <c r="F1332" s="1475"/>
      <c r="G1332" s="1476"/>
      <c r="H1332" s="581"/>
      <c r="I1332" s="581"/>
      <c r="J1332" s="581"/>
      <c r="K1332" s="582">
        <f>K1314+K1330</f>
        <v>8034700</v>
      </c>
      <c r="L1332" s="583">
        <f>L1314+L1330</f>
        <v>3432700</v>
      </c>
      <c r="M1332" s="583">
        <f>M1314+M1330</f>
        <v>4602000</v>
      </c>
      <c r="N1332" s="582">
        <f>N1314+N1330</f>
        <v>0</v>
      </c>
      <c r="O1332" s="581"/>
      <c r="P1332" s="581"/>
      <c r="Q1332" s="816"/>
    </row>
    <row r="1333" spans="1:17" ht="15.75" thickBot="1">
      <c r="A1333" s="425"/>
      <c r="B1333" s="425"/>
      <c r="C1333" s="425"/>
      <c r="D1333" s="941"/>
      <c r="E1333" s="941"/>
      <c r="F1333" s="425"/>
      <c r="G1333" s="958"/>
      <c r="H1333" s="819"/>
      <c r="I1333" s="819"/>
      <c r="J1333" s="819"/>
      <c r="K1333" s="819"/>
      <c r="L1333" s="957"/>
      <c r="M1333" s="957"/>
      <c r="N1333" s="772"/>
      <c r="O1333" s="772"/>
      <c r="P1333" s="772"/>
      <c r="Q1333" s="425"/>
    </row>
    <row r="1334" spans="1:17" ht="15.75" thickBot="1">
      <c r="A1334" s="405"/>
      <c r="B1334" s="336"/>
      <c r="C1334" s="336"/>
      <c r="D1334" s="729"/>
      <c r="E1334" s="729"/>
      <c r="F1334" s="878"/>
      <c r="G1334" s="577" t="s">
        <v>1928</v>
      </c>
      <c r="H1334" s="879"/>
      <c r="I1334" s="744"/>
      <c r="J1334" s="405"/>
      <c r="K1334" s="336"/>
      <c r="L1334" s="332"/>
      <c r="M1334" s="332"/>
      <c r="N1334" s="336"/>
      <c r="O1334" s="729"/>
      <c r="P1334" s="729"/>
      <c r="Q1334" s="405"/>
    </row>
    <row r="1335" spans="1:17" ht="15.75" thickBot="1">
      <c r="A1335" s="406"/>
      <c r="B1335" s="355"/>
      <c r="C1335" s="355"/>
      <c r="D1335" s="898"/>
      <c r="E1335" s="898"/>
      <c r="F1335" s="356"/>
      <c r="G1335" s="576"/>
      <c r="H1335" s="358"/>
      <c r="I1335" s="358"/>
      <c r="J1335" s="358"/>
      <c r="K1335" s="358"/>
      <c r="L1335" s="359"/>
      <c r="M1335" s="359"/>
      <c r="N1335" s="358"/>
      <c r="O1335" s="770"/>
      <c r="P1335" s="770"/>
      <c r="Q1335" s="406"/>
    </row>
    <row r="1336" spans="1:17" s="382" customFormat="1" ht="60" customHeight="1">
      <c r="A1336" s="1542" t="s">
        <v>632</v>
      </c>
      <c r="B1336" s="1544" t="s">
        <v>617</v>
      </c>
      <c r="C1336" s="1538" t="s">
        <v>610</v>
      </c>
      <c r="D1336" s="1538" t="s">
        <v>611</v>
      </c>
      <c r="E1336" s="1538" t="s">
        <v>1453</v>
      </c>
      <c r="F1336" s="1472" t="s">
        <v>159</v>
      </c>
      <c r="G1336" s="1509" t="s">
        <v>110</v>
      </c>
      <c r="H1336" s="1477" t="s">
        <v>316</v>
      </c>
      <c r="I1336" s="1472" t="s">
        <v>315</v>
      </c>
      <c r="J1336" s="1472" t="s">
        <v>317</v>
      </c>
      <c r="K1336" s="1472" t="s">
        <v>318</v>
      </c>
      <c r="L1336" s="569" t="s">
        <v>1443</v>
      </c>
      <c r="M1336" s="569" t="s">
        <v>1444</v>
      </c>
      <c r="N1336" s="752" t="s">
        <v>1445</v>
      </c>
      <c r="O1336" s="1477" t="s">
        <v>1673</v>
      </c>
      <c r="P1336" s="1477" t="s">
        <v>1307</v>
      </c>
      <c r="Q1336" s="1495" t="s">
        <v>1454</v>
      </c>
    </row>
    <row r="1337" spans="1:17" s="382" customFormat="1" ht="15.75" thickBot="1">
      <c r="A1337" s="1543"/>
      <c r="B1337" s="1545"/>
      <c r="C1337" s="1539"/>
      <c r="D1337" s="1539"/>
      <c r="E1337" s="1539"/>
      <c r="F1337" s="1473"/>
      <c r="G1337" s="1510"/>
      <c r="H1337" s="1478"/>
      <c r="I1337" s="1473"/>
      <c r="J1337" s="1473"/>
      <c r="K1337" s="1473"/>
      <c r="L1337" s="570" t="s">
        <v>805</v>
      </c>
      <c r="M1337" s="570" t="s">
        <v>805</v>
      </c>
      <c r="N1337" s="753" t="s">
        <v>1149</v>
      </c>
      <c r="O1337" s="1478"/>
      <c r="P1337" s="1478"/>
      <c r="Q1337" s="1496"/>
    </row>
    <row r="1338" spans="1:17" ht="30">
      <c r="A1338" s="1487" t="s">
        <v>751</v>
      </c>
      <c r="B1338" s="1587" t="s">
        <v>1451</v>
      </c>
      <c r="C1338" s="1487" t="s">
        <v>751</v>
      </c>
      <c r="D1338" s="1607">
        <v>757</v>
      </c>
      <c r="E1338" s="1628">
        <f>D1338</f>
        <v>757</v>
      </c>
      <c r="F1338" s="736" t="s">
        <v>323</v>
      </c>
      <c r="G1338" s="423" t="s">
        <v>1450</v>
      </c>
      <c r="H1338" s="926" t="s">
        <v>160</v>
      </c>
      <c r="I1338" s="1123">
        <v>1</v>
      </c>
      <c r="J1338" s="1123">
        <f>'preturi unitare'!O28</f>
        <v>120000</v>
      </c>
      <c r="K1338" s="1123">
        <f>I1338*J1338</f>
        <v>120000</v>
      </c>
      <c r="L1338" s="411">
        <v>0</v>
      </c>
      <c r="M1338" s="411">
        <f>K1338</f>
        <v>120000</v>
      </c>
      <c r="N1338" s="429">
        <v>0</v>
      </c>
      <c r="O1338" s="1465">
        <f>SUM(K1338:K1339)</f>
        <v>1046999.9199999999</v>
      </c>
      <c r="P1338" s="1465">
        <f>O1338/D1338</f>
        <v>1383.0910435931307</v>
      </c>
      <c r="Q1338" s="1817" t="s">
        <v>1959</v>
      </c>
    </row>
    <row r="1339" spans="1:17" ht="30">
      <c r="A1339" s="1488"/>
      <c r="B1339" s="1587"/>
      <c r="C1339" s="1488"/>
      <c r="D1339" s="1602"/>
      <c r="E1339" s="1607"/>
      <c r="F1339" s="1132" t="s">
        <v>325</v>
      </c>
      <c r="G1339" s="394" t="s">
        <v>813</v>
      </c>
      <c r="H1339" s="395" t="s">
        <v>160</v>
      </c>
      <c r="I1339" s="1119">
        <v>6020</v>
      </c>
      <c r="J1339" s="1119">
        <f>'preturi unitare'!H40</f>
        <v>154</v>
      </c>
      <c r="K1339" s="1119">
        <f>6019.48*J1339</f>
        <v>926999.91999999993</v>
      </c>
      <c r="L1339" s="334">
        <v>0</v>
      </c>
      <c r="M1339" s="411">
        <f t="shared" ref="M1339" si="107">K1339</f>
        <v>926999.91999999993</v>
      </c>
      <c r="N1339" s="429">
        <v>0</v>
      </c>
      <c r="O1339" s="1482"/>
      <c r="P1339" s="1482"/>
      <c r="Q1339" s="1648"/>
    </row>
    <row r="1340" spans="1:17" ht="45">
      <c r="A1340" s="1488"/>
      <c r="B1340" s="1587"/>
      <c r="C1340" s="722" t="s">
        <v>752</v>
      </c>
      <c r="D1340" s="733">
        <v>229</v>
      </c>
      <c r="E1340" s="733">
        <f>D1340</f>
        <v>229</v>
      </c>
      <c r="F1340" s="1132" t="s">
        <v>323</v>
      </c>
      <c r="G1340" s="394" t="s">
        <v>814</v>
      </c>
      <c r="H1340" s="807" t="s">
        <v>1322</v>
      </c>
      <c r="I1340" s="1119">
        <v>1</v>
      </c>
      <c r="J1340" s="1119">
        <f>'preturi unitare'!L4</f>
        <v>70000</v>
      </c>
      <c r="K1340" s="1119">
        <f>I1340*J1340</f>
        <v>70000</v>
      </c>
      <c r="L1340" s="334">
        <v>0</v>
      </c>
      <c r="M1340" s="411">
        <f>K1340</f>
        <v>70000</v>
      </c>
      <c r="N1340" s="429">
        <v>0</v>
      </c>
      <c r="O1340" s="729">
        <f>K1340</f>
        <v>70000</v>
      </c>
      <c r="P1340" s="729">
        <f>O1340/D1340</f>
        <v>305.67685589519652</v>
      </c>
      <c r="Q1340" s="981" t="s">
        <v>1539</v>
      </c>
    </row>
    <row r="1341" spans="1:17" ht="30.75" customHeight="1">
      <c r="A1341" s="1488"/>
      <c r="B1341" s="1587"/>
      <c r="C1341" s="722" t="s">
        <v>753</v>
      </c>
      <c r="D1341" s="733">
        <v>292</v>
      </c>
      <c r="E1341" s="733">
        <f>D1341</f>
        <v>292</v>
      </c>
      <c r="F1341" s="1132" t="s">
        <v>323</v>
      </c>
      <c r="G1341" s="442" t="s">
        <v>815</v>
      </c>
      <c r="H1341" s="807" t="s">
        <v>1322</v>
      </c>
      <c r="I1341" s="1119">
        <v>1</v>
      </c>
      <c r="J1341" s="1119">
        <f>'preturi unitare'!L4</f>
        <v>70000</v>
      </c>
      <c r="K1341" s="1119">
        <f>I1341*J1341</f>
        <v>70000</v>
      </c>
      <c r="L1341" s="334">
        <v>0</v>
      </c>
      <c r="M1341" s="411">
        <f t="shared" ref="M1341:M1346" si="108">K1341</f>
        <v>70000</v>
      </c>
      <c r="N1341" s="429">
        <v>0</v>
      </c>
      <c r="O1341" s="729">
        <f>K1341</f>
        <v>70000</v>
      </c>
      <c r="P1341" s="729">
        <f>O1341/D1341</f>
        <v>239.72602739726028</v>
      </c>
      <c r="Q1341" s="981" t="s">
        <v>1540</v>
      </c>
    </row>
    <row r="1342" spans="1:17" ht="45">
      <c r="A1342" s="1488"/>
      <c r="B1342" s="1587"/>
      <c r="C1342" s="722" t="s">
        <v>754</v>
      </c>
      <c r="D1342" s="733">
        <v>202</v>
      </c>
      <c r="E1342" s="733">
        <f>D1342</f>
        <v>202</v>
      </c>
      <c r="F1342" s="1132" t="s">
        <v>323</v>
      </c>
      <c r="G1342" s="394" t="s">
        <v>816</v>
      </c>
      <c r="H1342" s="807" t="s">
        <v>1322</v>
      </c>
      <c r="I1342" s="1119">
        <v>1</v>
      </c>
      <c r="J1342" s="1119">
        <f>'preturi unitare'!L4</f>
        <v>70000</v>
      </c>
      <c r="K1342" s="1119">
        <f>I1342*J1342</f>
        <v>70000</v>
      </c>
      <c r="L1342" s="365">
        <v>0</v>
      </c>
      <c r="M1342" s="411">
        <f t="shared" si="108"/>
        <v>70000</v>
      </c>
      <c r="N1342" s="429">
        <v>0</v>
      </c>
      <c r="O1342" s="729">
        <f>K1342</f>
        <v>70000</v>
      </c>
      <c r="P1342" s="729">
        <f>O1342/D1342</f>
        <v>346.53465346534654</v>
      </c>
      <c r="Q1342" s="981" t="s">
        <v>1541</v>
      </c>
    </row>
    <row r="1343" spans="1:17" ht="45">
      <c r="A1343" s="1488"/>
      <c r="B1343" s="1587"/>
      <c r="C1343" s="722" t="s">
        <v>755</v>
      </c>
      <c r="D1343" s="733">
        <v>392</v>
      </c>
      <c r="E1343" s="733">
        <f>D1343</f>
        <v>392</v>
      </c>
      <c r="F1343" s="1132" t="s">
        <v>323</v>
      </c>
      <c r="G1343" s="394" t="s">
        <v>817</v>
      </c>
      <c r="H1343" s="807" t="s">
        <v>1322</v>
      </c>
      <c r="I1343" s="1119">
        <v>1</v>
      </c>
      <c r="J1343" s="1119">
        <f>'preturi unitare'!L4</f>
        <v>70000</v>
      </c>
      <c r="K1343" s="1119">
        <f>I1343*J1343</f>
        <v>70000</v>
      </c>
      <c r="L1343" s="334">
        <v>0</v>
      </c>
      <c r="M1343" s="411">
        <f t="shared" si="108"/>
        <v>70000</v>
      </c>
      <c r="N1343" s="429">
        <v>0</v>
      </c>
      <c r="O1343" s="729">
        <f>K1343</f>
        <v>70000</v>
      </c>
      <c r="P1343" s="729">
        <f>O1343/D1343</f>
        <v>178.57142857142858</v>
      </c>
      <c r="Q1343" s="981" t="s">
        <v>1542</v>
      </c>
    </row>
    <row r="1344" spans="1:17" ht="30">
      <c r="A1344" s="1488"/>
      <c r="B1344" s="1587"/>
      <c r="C1344" s="1488" t="s">
        <v>818</v>
      </c>
      <c r="D1344" s="1602">
        <v>492</v>
      </c>
      <c r="E1344" s="1606">
        <f>D1344</f>
        <v>492</v>
      </c>
      <c r="F1344" s="1132" t="s">
        <v>323</v>
      </c>
      <c r="G1344" s="442" t="s">
        <v>1061</v>
      </c>
      <c r="H1344" s="807" t="s">
        <v>280</v>
      </c>
      <c r="I1344" s="1119">
        <v>1</v>
      </c>
      <c r="J1344" s="1119">
        <f>'preturi unitare'!O26</f>
        <v>94000</v>
      </c>
      <c r="K1344" s="1119">
        <f>J1344*I1344</f>
        <v>94000</v>
      </c>
      <c r="L1344" s="334">
        <v>0</v>
      </c>
      <c r="M1344" s="411">
        <f t="shared" si="108"/>
        <v>94000</v>
      </c>
      <c r="N1344" s="429">
        <v>0</v>
      </c>
      <c r="O1344" s="1483">
        <f>SUM(K1344:K1345)</f>
        <v>633000</v>
      </c>
      <c r="P1344" s="1483">
        <f>O1344/D1344</f>
        <v>1286.5853658536585</v>
      </c>
      <c r="Q1344" s="1647" t="s">
        <v>1543</v>
      </c>
    </row>
    <row r="1345" spans="1:17" ht="30">
      <c r="A1345" s="1488"/>
      <c r="B1345" s="1587"/>
      <c r="C1345" s="1488"/>
      <c r="D1345" s="1602"/>
      <c r="E1345" s="1607"/>
      <c r="F1345" s="1132" t="s">
        <v>325</v>
      </c>
      <c r="G1345" s="442" t="s">
        <v>819</v>
      </c>
      <c r="H1345" s="807" t="s">
        <v>160</v>
      </c>
      <c r="I1345" s="1119">
        <v>3500</v>
      </c>
      <c r="J1345" s="1119">
        <f>'preturi unitare'!H40</f>
        <v>154</v>
      </c>
      <c r="K1345" s="1119">
        <f>I1345*J1345</f>
        <v>539000</v>
      </c>
      <c r="L1345" s="334">
        <v>0</v>
      </c>
      <c r="M1345" s="411">
        <f t="shared" si="108"/>
        <v>539000</v>
      </c>
      <c r="N1345" s="429">
        <v>0</v>
      </c>
      <c r="O1345" s="1483"/>
      <c r="P1345" s="1483"/>
      <c r="Q1345" s="1648"/>
    </row>
    <row r="1346" spans="1:17" ht="45">
      <c r="A1346" s="1488"/>
      <c r="B1346" s="1487"/>
      <c r="C1346" s="722" t="s">
        <v>820</v>
      </c>
      <c r="D1346" s="733">
        <v>223</v>
      </c>
      <c r="E1346" s="733">
        <f>D1346</f>
        <v>223</v>
      </c>
      <c r="F1346" s="1132" t="s">
        <v>323</v>
      </c>
      <c r="G1346" s="394" t="s">
        <v>821</v>
      </c>
      <c r="H1346" s="807" t="s">
        <v>1322</v>
      </c>
      <c r="I1346" s="1119">
        <v>1</v>
      </c>
      <c r="J1346" s="1119">
        <f>J1342</f>
        <v>70000</v>
      </c>
      <c r="K1346" s="1119">
        <f>I1346*J1346</f>
        <v>70000</v>
      </c>
      <c r="L1346" s="334">
        <v>0</v>
      </c>
      <c r="M1346" s="411">
        <f t="shared" si="108"/>
        <v>70000</v>
      </c>
      <c r="N1346" s="429">
        <v>0</v>
      </c>
      <c r="O1346" s="729">
        <f>K1346</f>
        <v>70000</v>
      </c>
      <c r="P1346" s="729">
        <f>O1346/D1346</f>
        <v>313.9013452914798</v>
      </c>
      <c r="Q1346" s="981" t="s">
        <v>1544</v>
      </c>
    </row>
    <row r="1347" spans="1:17" s="382" customFormat="1">
      <c r="A1347" s="405"/>
      <c r="B1347" s="722"/>
      <c r="C1347" s="722"/>
      <c r="D1347" s="733"/>
      <c r="E1347" s="733"/>
      <c r="F1347" s="1128"/>
      <c r="G1347" s="384"/>
      <c r="H1347" s="1119"/>
      <c r="I1347" s="1119"/>
      <c r="J1347" s="1119"/>
      <c r="K1347" s="1119"/>
      <c r="L1347" s="334"/>
      <c r="M1347" s="334"/>
      <c r="N1347" s="326"/>
      <c r="O1347" s="714"/>
      <c r="P1347" s="714"/>
      <c r="Q1347" s="405"/>
    </row>
    <row r="1348" spans="1:17">
      <c r="A1348" s="1818" t="s">
        <v>434</v>
      </c>
      <c r="B1348" s="1533"/>
      <c r="C1348" s="1533"/>
      <c r="D1348" s="1533"/>
      <c r="E1348" s="1533"/>
      <c r="F1348" s="1533"/>
      <c r="G1348" s="1534"/>
      <c r="H1348" s="364"/>
      <c r="I1348" s="364"/>
      <c r="J1348" s="364"/>
      <c r="K1348" s="364">
        <f>SUM(K1338:K1346)</f>
        <v>2029999.92</v>
      </c>
      <c r="L1348" s="365">
        <f>SUM(L1338:L1346)</f>
        <v>0</v>
      </c>
      <c r="M1348" s="365">
        <f>SUM(M1338:M1346)</f>
        <v>2029999.92</v>
      </c>
      <c r="N1348" s="364">
        <f>SUM(N1338:N1346)</f>
        <v>0</v>
      </c>
      <c r="O1348" s="714"/>
      <c r="P1348" s="714"/>
      <c r="Q1348" s="405"/>
    </row>
    <row r="1349" spans="1:17">
      <c r="A1349" s="405"/>
      <c r="B1349" s="742"/>
      <c r="C1349" s="742"/>
      <c r="D1349" s="728"/>
      <c r="E1349" s="728"/>
      <c r="F1349" s="721"/>
      <c r="G1349" s="328"/>
      <c r="H1349" s="714"/>
      <c r="I1349" s="714"/>
      <c r="J1349" s="714"/>
      <c r="K1349" s="714"/>
      <c r="L1349" s="334"/>
      <c r="M1349" s="334"/>
      <c r="N1349" s="714"/>
      <c r="O1349" s="714"/>
      <c r="P1349" s="714"/>
      <c r="Q1349" s="405"/>
    </row>
    <row r="1350" spans="1:17" ht="15.75" customHeight="1">
      <c r="A1350" s="1819" t="s">
        <v>435</v>
      </c>
      <c r="B1350" s="1820"/>
      <c r="C1350" s="1820"/>
      <c r="D1350" s="1820"/>
      <c r="E1350" s="1820"/>
      <c r="F1350" s="1820"/>
      <c r="G1350" s="1821"/>
      <c r="H1350" s="714"/>
      <c r="I1350" s="714"/>
      <c r="J1350" s="714"/>
      <c r="K1350" s="364">
        <f>K1348</f>
        <v>2029999.92</v>
      </c>
      <c r="L1350" s="365">
        <f>L1348</f>
        <v>0</v>
      </c>
      <c r="M1350" s="365">
        <f>M1348</f>
        <v>2029999.92</v>
      </c>
      <c r="N1350" s="364">
        <f>N1348</f>
        <v>0</v>
      </c>
      <c r="O1350" s="714"/>
      <c r="P1350" s="714"/>
      <c r="Q1350" s="792"/>
    </row>
    <row r="1351" spans="1:17" ht="15.75" thickBot="1">
      <c r="A1351" s="406"/>
      <c r="B1351" s="406"/>
      <c r="C1351" s="406"/>
      <c r="D1351" s="961"/>
      <c r="E1351" s="961"/>
      <c r="F1351" s="406"/>
      <c r="G1351" s="960"/>
      <c r="H1351" s="358"/>
      <c r="I1351" s="358"/>
      <c r="J1351" s="358"/>
      <c r="K1351" s="358"/>
      <c r="L1351" s="359"/>
      <c r="M1351" s="359"/>
      <c r="N1351" s="358"/>
      <c r="O1351" s="770"/>
      <c r="P1351" s="770"/>
      <c r="Q1351" s="406"/>
    </row>
    <row r="1352" spans="1:17" ht="15.75" thickBot="1">
      <c r="A1352" s="859"/>
      <c r="B1352" s="639"/>
      <c r="C1352" s="639"/>
      <c r="D1352" s="841"/>
      <c r="E1352" s="841"/>
      <c r="F1352" s="846"/>
      <c r="G1352" s="577" t="s">
        <v>1929</v>
      </c>
      <c r="H1352" s="872"/>
      <c r="I1352" s="873"/>
      <c r="J1352" s="641"/>
      <c r="K1352" s="639"/>
      <c r="L1352" s="640"/>
      <c r="M1352" s="640"/>
      <c r="N1352" s="639"/>
      <c r="O1352" s="841"/>
      <c r="P1352" s="841"/>
      <c r="Q1352" s="642"/>
    </row>
    <row r="1353" spans="1:17" ht="15.75" thickBot="1">
      <c r="A1353" s="833"/>
      <c r="B1353" s="355"/>
      <c r="C1353" s="355"/>
      <c r="D1353" s="898"/>
      <c r="E1353" s="898"/>
      <c r="F1353" s="356"/>
      <c r="G1353" s="576"/>
      <c r="H1353" s="358"/>
      <c r="I1353" s="358"/>
      <c r="J1353" s="358"/>
      <c r="K1353" s="358"/>
      <c r="L1353" s="359"/>
      <c r="M1353" s="359"/>
      <c r="N1353" s="358"/>
      <c r="O1353" s="770"/>
      <c r="P1353" s="770"/>
      <c r="Q1353" s="857"/>
    </row>
    <row r="1354" spans="1:17" ht="60" customHeight="1">
      <c r="A1354" s="1562" t="s">
        <v>1452</v>
      </c>
      <c r="B1354" s="1538" t="s">
        <v>676</v>
      </c>
      <c r="C1354" s="1564" t="s">
        <v>610</v>
      </c>
      <c r="D1354" s="1538" t="s">
        <v>611</v>
      </c>
      <c r="E1354" s="1538" t="s">
        <v>1453</v>
      </c>
      <c r="F1354" s="1472" t="s">
        <v>159</v>
      </c>
      <c r="G1354" s="1509" t="s">
        <v>110</v>
      </c>
      <c r="H1354" s="1477" t="s">
        <v>316</v>
      </c>
      <c r="I1354" s="1472" t="s">
        <v>315</v>
      </c>
      <c r="J1354" s="1472" t="s">
        <v>317</v>
      </c>
      <c r="K1354" s="1472" t="s">
        <v>318</v>
      </c>
      <c r="L1354" s="569" t="s">
        <v>1443</v>
      </c>
      <c r="M1354" s="569" t="s">
        <v>1444</v>
      </c>
      <c r="N1354" s="752" t="s">
        <v>1445</v>
      </c>
      <c r="O1354" s="1477" t="s">
        <v>1673</v>
      </c>
      <c r="P1354" s="1477" t="s">
        <v>1307</v>
      </c>
      <c r="Q1354" s="1495" t="s">
        <v>1454</v>
      </c>
    </row>
    <row r="1355" spans="1:17" ht="15.75" thickBot="1">
      <c r="A1355" s="1563"/>
      <c r="B1355" s="1539"/>
      <c r="C1355" s="1565"/>
      <c r="D1355" s="1539"/>
      <c r="E1355" s="1539"/>
      <c r="F1355" s="1473"/>
      <c r="G1355" s="1510"/>
      <c r="H1355" s="1478"/>
      <c r="I1355" s="1473"/>
      <c r="J1355" s="1473"/>
      <c r="K1355" s="1473"/>
      <c r="L1355" s="570" t="s">
        <v>805</v>
      </c>
      <c r="M1355" s="570" t="s">
        <v>805</v>
      </c>
      <c r="N1355" s="753" t="s">
        <v>1149</v>
      </c>
      <c r="O1355" s="1478"/>
      <c r="P1355" s="1478"/>
      <c r="Q1355" s="1496"/>
    </row>
    <row r="1356" spans="1:17" s="373" customFormat="1" ht="79.5" customHeight="1">
      <c r="A1356" s="1633" t="s">
        <v>756</v>
      </c>
      <c r="B1356" s="765" t="s">
        <v>756</v>
      </c>
      <c r="C1356" s="765" t="s">
        <v>757</v>
      </c>
      <c r="D1356" s="764">
        <f>3825+1115</f>
        <v>4940</v>
      </c>
      <c r="E1356" s="422" t="s">
        <v>1451</v>
      </c>
      <c r="F1356" s="757" t="s">
        <v>322</v>
      </c>
      <c r="G1356" s="412" t="s">
        <v>541</v>
      </c>
      <c r="H1356" s="414" t="s">
        <v>160</v>
      </c>
      <c r="I1356" s="756">
        <v>8000</v>
      </c>
      <c r="J1356" s="756">
        <f>'preturi unitare'!H22</f>
        <v>64</v>
      </c>
      <c r="K1356" s="756">
        <f>I1356*J1356</f>
        <v>512000</v>
      </c>
      <c r="L1356" s="411">
        <f t="shared" ref="L1356:L1361" si="109">K1356</f>
        <v>512000</v>
      </c>
      <c r="M1356" s="411">
        <v>0</v>
      </c>
      <c r="N1356" s="756">
        <v>0</v>
      </c>
      <c r="O1356" s="767">
        <f>SUM(L1356)</f>
        <v>512000</v>
      </c>
      <c r="P1356" s="767">
        <f>O1356/D1356</f>
        <v>103.64372469635627</v>
      </c>
      <c r="Q1356" s="969" t="s">
        <v>1665</v>
      </c>
    </row>
    <row r="1357" spans="1:17" s="373" customFormat="1" ht="30">
      <c r="A1357" s="1630"/>
      <c r="B1357" s="1625" t="s">
        <v>1451</v>
      </c>
      <c r="C1357" s="1625" t="s">
        <v>2013</v>
      </c>
      <c r="D1357" s="1513">
        <v>963</v>
      </c>
      <c r="E1357" s="1620" t="s">
        <v>1451</v>
      </c>
      <c r="F1357" s="1191" t="s">
        <v>1242</v>
      </c>
      <c r="G1357" s="412" t="s">
        <v>2014</v>
      </c>
      <c r="H1357" s="1199" t="s">
        <v>280</v>
      </c>
      <c r="I1357" s="1187">
        <v>1</v>
      </c>
      <c r="J1357" s="1187">
        <f>'preturi unitare'!O4</f>
        <v>125000</v>
      </c>
      <c r="K1357" s="1187">
        <f t="shared" ref="K1357:K1361" si="110">I1357*J1357</f>
        <v>125000</v>
      </c>
      <c r="L1357" s="411">
        <f t="shared" si="109"/>
        <v>125000</v>
      </c>
      <c r="M1357" s="411">
        <v>0</v>
      </c>
      <c r="N1357" s="1187">
        <v>0</v>
      </c>
      <c r="O1357" s="1511">
        <f>SUM(L1357:L1361)</f>
        <v>688480</v>
      </c>
      <c r="P1357" s="1511">
        <f>O1357/D1357</f>
        <v>714.93250259605395</v>
      </c>
      <c r="Q1357" s="1190"/>
    </row>
    <row r="1358" spans="1:17" s="373" customFormat="1" ht="30">
      <c r="A1358" s="1630"/>
      <c r="B1358" s="1626"/>
      <c r="C1358" s="1626"/>
      <c r="D1358" s="1504"/>
      <c r="E1358" s="1725"/>
      <c r="F1358" s="1191" t="s">
        <v>2015</v>
      </c>
      <c r="G1358" s="412" t="s">
        <v>2016</v>
      </c>
      <c r="H1358" s="1199" t="s">
        <v>160</v>
      </c>
      <c r="I1358" s="1187">
        <v>560</v>
      </c>
      <c r="J1358" s="1187">
        <f>'preturi unitare'!H32</f>
        <v>58</v>
      </c>
      <c r="K1358" s="1187">
        <f t="shared" si="110"/>
        <v>32480</v>
      </c>
      <c r="L1358" s="411">
        <f t="shared" si="109"/>
        <v>32480</v>
      </c>
      <c r="M1358" s="411">
        <v>0</v>
      </c>
      <c r="N1358" s="1187">
        <v>0</v>
      </c>
      <c r="O1358" s="1780"/>
      <c r="P1358" s="1780"/>
      <c r="Q1358" s="1190"/>
    </row>
    <row r="1359" spans="1:17" s="373" customFormat="1" ht="30">
      <c r="A1359" s="1630"/>
      <c r="B1359" s="1626"/>
      <c r="C1359" s="1626"/>
      <c r="D1359" s="1504"/>
      <c r="E1359" s="1725"/>
      <c r="F1359" s="1191" t="s">
        <v>676</v>
      </c>
      <c r="G1359" s="412" t="s">
        <v>2017</v>
      </c>
      <c r="H1359" s="1199" t="s">
        <v>280</v>
      </c>
      <c r="I1359" s="1187">
        <v>1</v>
      </c>
      <c r="J1359" s="1187">
        <v>46500</v>
      </c>
      <c r="K1359" s="1187">
        <f t="shared" si="110"/>
        <v>46500</v>
      </c>
      <c r="L1359" s="411">
        <f t="shared" si="109"/>
        <v>46500</v>
      </c>
      <c r="M1359" s="411">
        <v>0</v>
      </c>
      <c r="N1359" s="1187">
        <v>0</v>
      </c>
      <c r="O1359" s="1780"/>
      <c r="P1359" s="1780"/>
      <c r="Q1359" s="1190"/>
    </row>
    <row r="1360" spans="1:17" s="373" customFormat="1" ht="30">
      <c r="A1360" s="1630"/>
      <c r="B1360" s="1626"/>
      <c r="C1360" s="1626"/>
      <c r="D1360" s="1504"/>
      <c r="E1360" s="1725"/>
      <c r="F1360" s="1317" t="s">
        <v>322</v>
      </c>
      <c r="G1360" s="412" t="s">
        <v>2018</v>
      </c>
      <c r="H1360" s="1199" t="s">
        <v>160</v>
      </c>
      <c r="I1360" s="1187">
        <v>7000</v>
      </c>
      <c r="J1360" s="1187">
        <f>'preturi unitare'!H22</f>
        <v>64</v>
      </c>
      <c r="K1360" s="1187">
        <f t="shared" si="110"/>
        <v>448000</v>
      </c>
      <c r="L1360" s="411">
        <f t="shared" si="109"/>
        <v>448000</v>
      </c>
      <c r="M1360" s="411">
        <v>0</v>
      </c>
      <c r="N1360" s="1187">
        <v>0</v>
      </c>
      <c r="O1360" s="1780"/>
      <c r="P1360" s="1780"/>
      <c r="Q1360" s="1190"/>
    </row>
    <row r="1361" spans="1:19" s="373" customFormat="1" ht="32.25">
      <c r="A1361" s="1634"/>
      <c r="B1361" s="1599"/>
      <c r="C1361" s="1599"/>
      <c r="D1361" s="1505"/>
      <c r="E1361" s="1826"/>
      <c r="F1361" s="1191" t="s">
        <v>2019</v>
      </c>
      <c r="G1361" s="412" t="s">
        <v>2104</v>
      </c>
      <c r="H1361" s="1199" t="s">
        <v>280</v>
      </c>
      <c r="I1361" s="1187">
        <v>1</v>
      </c>
      <c r="J1361" s="1187">
        <f>'preturi unitare'!E26</f>
        <v>36500</v>
      </c>
      <c r="K1361" s="1187">
        <f t="shared" si="110"/>
        <v>36500</v>
      </c>
      <c r="L1361" s="411">
        <f t="shared" si="109"/>
        <v>36500</v>
      </c>
      <c r="M1361" s="411">
        <v>0</v>
      </c>
      <c r="N1361" s="1187">
        <v>0</v>
      </c>
      <c r="O1361" s="1512"/>
      <c r="P1361" s="1512"/>
      <c r="Q1361" s="1190"/>
    </row>
    <row r="1362" spans="1:19" s="373" customFormat="1">
      <c r="A1362" s="1201"/>
      <c r="B1362" s="1184"/>
      <c r="C1362" s="1184"/>
      <c r="D1362" s="1185"/>
      <c r="E1362" s="1188"/>
      <c r="F1362" s="1191"/>
      <c r="G1362" s="412"/>
      <c r="H1362" s="1199"/>
      <c r="I1362" s="1187"/>
      <c r="J1362" s="1187"/>
      <c r="K1362" s="1187"/>
      <c r="L1362" s="411"/>
      <c r="M1362" s="411"/>
      <c r="N1362" s="1187"/>
      <c r="O1362" s="1186"/>
      <c r="P1362" s="1186"/>
      <c r="Q1362" s="1190"/>
    </row>
    <row r="1363" spans="1:19">
      <c r="A1363" s="1532" t="s">
        <v>586</v>
      </c>
      <c r="B1363" s="1533"/>
      <c r="C1363" s="1533"/>
      <c r="D1363" s="1533"/>
      <c r="E1363" s="1533"/>
      <c r="F1363" s="1533"/>
      <c r="G1363" s="1534"/>
      <c r="H1363" s="793"/>
      <c r="I1363" s="776"/>
      <c r="J1363" s="776"/>
      <c r="K1363" s="364">
        <f>SUM(K1356:K1361)</f>
        <v>1200480</v>
      </c>
      <c r="L1363" s="365">
        <f>SUM(L1356:L1361)</f>
        <v>1200480</v>
      </c>
      <c r="M1363" s="365">
        <f>SUM(M1356:M1361)</f>
        <v>0</v>
      </c>
      <c r="N1363" s="364">
        <f>SUM(N1356:N1361)</f>
        <v>0</v>
      </c>
      <c r="O1363" s="776"/>
      <c r="P1363" s="776"/>
      <c r="Q1363" s="587"/>
      <c r="S1363" s="629"/>
    </row>
    <row r="1364" spans="1:19" ht="15.75" thickBot="1">
      <c r="A1364" s="833"/>
      <c r="B1364" s="397"/>
      <c r="C1364" s="397"/>
      <c r="D1364" s="768"/>
      <c r="E1364" s="768"/>
      <c r="F1364" s="766"/>
      <c r="G1364" s="417"/>
      <c r="H1364" s="732"/>
      <c r="I1364" s="732"/>
      <c r="J1364" s="732"/>
      <c r="K1364" s="732"/>
      <c r="L1364" s="426"/>
      <c r="M1364" s="426"/>
      <c r="N1364" s="418"/>
      <c r="O1364" s="770"/>
      <c r="P1364" s="770"/>
      <c r="Q1364" s="857"/>
    </row>
    <row r="1365" spans="1:19" s="382" customFormat="1" ht="60" customHeight="1">
      <c r="A1365" s="1542" t="s">
        <v>632</v>
      </c>
      <c r="B1365" s="1544" t="s">
        <v>617</v>
      </c>
      <c r="C1365" s="1538" t="s">
        <v>610</v>
      </c>
      <c r="D1365" s="1538" t="s">
        <v>611</v>
      </c>
      <c r="E1365" s="1538" t="s">
        <v>1453</v>
      </c>
      <c r="F1365" s="1472" t="s">
        <v>159</v>
      </c>
      <c r="G1365" s="1509" t="s">
        <v>110</v>
      </c>
      <c r="H1365" s="1477" t="s">
        <v>316</v>
      </c>
      <c r="I1365" s="1472" t="s">
        <v>315</v>
      </c>
      <c r="J1365" s="1472" t="s">
        <v>317</v>
      </c>
      <c r="K1365" s="1472" t="s">
        <v>318</v>
      </c>
      <c r="L1365" s="569" t="s">
        <v>1443</v>
      </c>
      <c r="M1365" s="569" t="s">
        <v>1444</v>
      </c>
      <c r="N1365" s="752" t="s">
        <v>1445</v>
      </c>
      <c r="O1365" s="1477" t="s">
        <v>1673</v>
      </c>
      <c r="P1365" s="1477" t="s">
        <v>1307</v>
      </c>
      <c r="Q1365" s="1495" t="s">
        <v>1454</v>
      </c>
    </row>
    <row r="1366" spans="1:19" s="382" customFormat="1" ht="15.75" thickBot="1">
      <c r="A1366" s="1543"/>
      <c r="B1366" s="1545"/>
      <c r="C1366" s="1539"/>
      <c r="D1366" s="1539"/>
      <c r="E1366" s="1539"/>
      <c r="F1366" s="1473"/>
      <c r="G1366" s="1510"/>
      <c r="H1366" s="1478"/>
      <c r="I1366" s="1473"/>
      <c r="J1366" s="1473"/>
      <c r="K1366" s="1473"/>
      <c r="L1366" s="570" t="s">
        <v>805</v>
      </c>
      <c r="M1366" s="570" t="s">
        <v>805</v>
      </c>
      <c r="N1366" s="753" t="s">
        <v>1149</v>
      </c>
      <c r="O1366" s="1478"/>
      <c r="P1366" s="1478"/>
      <c r="Q1366" s="1496"/>
    </row>
    <row r="1367" spans="1:19" s="373" customFormat="1" ht="30">
      <c r="A1367" s="1789" t="s">
        <v>756</v>
      </c>
      <c r="B1367" s="1599" t="s">
        <v>1451</v>
      </c>
      <c r="C1367" s="1611" t="s">
        <v>1965</v>
      </c>
      <c r="D1367" s="1503">
        <v>1115</v>
      </c>
      <c r="E1367" s="1503">
        <f>D1367</f>
        <v>1115</v>
      </c>
      <c r="F1367" s="757" t="s">
        <v>144</v>
      </c>
      <c r="G1367" s="423" t="s">
        <v>1970</v>
      </c>
      <c r="H1367" s="431" t="s">
        <v>160</v>
      </c>
      <c r="I1367" s="925">
        <f>'preturi unitare'!H33</f>
        <v>60</v>
      </c>
      <c r="J1367" s="756">
        <v>1000</v>
      </c>
      <c r="K1367" s="756">
        <f t="shared" ref="K1367:K1373" si="111">I1367*J1367</f>
        <v>60000</v>
      </c>
      <c r="L1367" s="411">
        <v>0</v>
      </c>
      <c r="M1367" s="411">
        <f>K1367</f>
        <v>60000</v>
      </c>
      <c r="N1367" s="420">
        <v>0</v>
      </c>
      <c r="O1367" s="1512">
        <f>SUM(K1367:K1369)</f>
        <v>877000</v>
      </c>
      <c r="P1367" s="1512">
        <f>O1367/D1367</f>
        <v>786.54708520179372</v>
      </c>
      <c r="Q1367" s="1520" t="s">
        <v>1967</v>
      </c>
    </row>
    <row r="1368" spans="1:19" s="373" customFormat="1" ht="30">
      <c r="A1368" s="1790"/>
      <c r="B1368" s="1701"/>
      <c r="C1368" s="1626"/>
      <c r="D1368" s="1504"/>
      <c r="E1368" s="1504"/>
      <c r="F1368" s="762" t="s">
        <v>324</v>
      </c>
      <c r="G1368" s="362" t="s">
        <v>1966</v>
      </c>
      <c r="H1368" s="807" t="s">
        <v>280</v>
      </c>
      <c r="I1368" s="776">
        <v>3</v>
      </c>
      <c r="J1368" s="776">
        <f>'preturi unitare'!B32</f>
        <v>67000</v>
      </c>
      <c r="K1368" s="776">
        <f t="shared" si="111"/>
        <v>201000</v>
      </c>
      <c r="L1368" s="334">
        <v>0</v>
      </c>
      <c r="M1368" s="334">
        <f>K1368</f>
        <v>201000</v>
      </c>
      <c r="N1368" s="375">
        <v>0</v>
      </c>
      <c r="O1368" s="1515"/>
      <c r="P1368" s="1515"/>
      <c r="Q1368" s="1521"/>
    </row>
    <row r="1369" spans="1:19" s="373" customFormat="1" ht="30">
      <c r="A1369" s="1790"/>
      <c r="B1369" s="1701"/>
      <c r="C1369" s="1599"/>
      <c r="D1369" s="1505"/>
      <c r="E1369" s="1505"/>
      <c r="F1369" s="1176" t="s">
        <v>325</v>
      </c>
      <c r="G1369" s="329" t="s">
        <v>1971</v>
      </c>
      <c r="H1369" s="807" t="s">
        <v>160</v>
      </c>
      <c r="I1369" s="776">
        <v>4000</v>
      </c>
      <c r="J1369" s="776">
        <f>'preturi unitare'!H40</f>
        <v>154</v>
      </c>
      <c r="K1369" s="776">
        <f t="shared" si="111"/>
        <v>616000</v>
      </c>
      <c r="L1369" s="334">
        <v>0</v>
      </c>
      <c r="M1369" s="334">
        <f>K1369</f>
        <v>616000</v>
      </c>
      <c r="N1369" s="375">
        <v>0</v>
      </c>
      <c r="O1369" s="1515"/>
      <c r="P1369" s="1515"/>
      <c r="Q1369" s="1522"/>
    </row>
    <row r="1370" spans="1:19" s="373" customFormat="1" ht="30">
      <c r="A1370" s="1790"/>
      <c r="B1370" s="1625" t="s">
        <v>756</v>
      </c>
      <c r="C1370" s="1625" t="s">
        <v>756</v>
      </c>
      <c r="D1370" s="1513">
        <v>3825</v>
      </c>
      <c r="E1370" s="1513">
        <f>1.1*D1370</f>
        <v>4207.5</v>
      </c>
      <c r="F1370" s="1176" t="s">
        <v>324</v>
      </c>
      <c r="G1370" s="362" t="s">
        <v>1968</v>
      </c>
      <c r="H1370" s="807" t="s">
        <v>280</v>
      </c>
      <c r="I1370" s="1175">
        <v>2</v>
      </c>
      <c r="J1370" s="1175">
        <f>'preturi unitare'!B32</f>
        <v>67000</v>
      </c>
      <c r="K1370" s="1175">
        <f t="shared" si="111"/>
        <v>134000</v>
      </c>
      <c r="L1370" s="334">
        <f>K1370</f>
        <v>134000</v>
      </c>
      <c r="M1370" s="334">
        <v>0</v>
      </c>
      <c r="N1370" s="375">
        <v>0</v>
      </c>
      <c r="O1370" s="1511">
        <f>SUM(L1370:L1371)</f>
        <v>442000</v>
      </c>
      <c r="P1370" s="1511">
        <f>O1370/E1370</f>
        <v>105.05050505050505</v>
      </c>
      <c r="Q1370" s="1546" t="s">
        <v>1972</v>
      </c>
    </row>
    <row r="1371" spans="1:19" s="373" customFormat="1" ht="30">
      <c r="A1371" s="1790"/>
      <c r="B1371" s="1599"/>
      <c r="C1371" s="1599"/>
      <c r="D1371" s="1505"/>
      <c r="E1371" s="1505"/>
      <c r="F1371" s="1176" t="s">
        <v>325</v>
      </c>
      <c r="G1371" s="329" t="s">
        <v>1969</v>
      </c>
      <c r="H1371" s="807" t="s">
        <v>160</v>
      </c>
      <c r="I1371" s="1175">
        <v>2000</v>
      </c>
      <c r="J1371" s="1175">
        <f>'preturi unitare'!H40</f>
        <v>154</v>
      </c>
      <c r="K1371" s="1175">
        <f t="shared" si="111"/>
        <v>308000</v>
      </c>
      <c r="L1371" s="334">
        <f>K1371</f>
        <v>308000</v>
      </c>
      <c r="M1371" s="334">
        <v>0</v>
      </c>
      <c r="N1371" s="375">
        <v>0</v>
      </c>
      <c r="O1371" s="1512"/>
      <c r="P1371" s="1512"/>
      <c r="Q1371" s="1522"/>
    </row>
    <row r="1372" spans="1:19" s="373" customFormat="1" ht="30">
      <c r="A1372" s="1790"/>
      <c r="B1372" s="1625" t="s">
        <v>1451</v>
      </c>
      <c r="C1372" s="1625" t="s">
        <v>2013</v>
      </c>
      <c r="D1372" s="1513">
        <f>D1357</f>
        <v>963</v>
      </c>
      <c r="E1372" s="1513">
        <f>D1372</f>
        <v>963</v>
      </c>
      <c r="F1372" s="1192" t="s">
        <v>323</v>
      </c>
      <c r="G1372" s="329" t="s">
        <v>2020</v>
      </c>
      <c r="H1372" s="807" t="s">
        <v>280</v>
      </c>
      <c r="I1372" s="1189">
        <v>1</v>
      </c>
      <c r="J1372" s="1189">
        <f>'preturi unitare'!O29</f>
        <v>165500</v>
      </c>
      <c r="K1372" s="1189">
        <f t="shared" si="111"/>
        <v>165500</v>
      </c>
      <c r="L1372" s="334">
        <v>0</v>
      </c>
      <c r="M1372" s="334">
        <f>K1372</f>
        <v>165500</v>
      </c>
      <c r="N1372" s="375">
        <v>0</v>
      </c>
      <c r="O1372" s="1511">
        <f>SUM(M1372:M1373)</f>
        <v>1243500</v>
      </c>
      <c r="P1372" s="1511">
        <f>O1372/E1372</f>
        <v>1291.2772585669782</v>
      </c>
      <c r="Q1372" s="1546" t="s">
        <v>2022</v>
      </c>
    </row>
    <row r="1373" spans="1:19" s="373" customFormat="1" ht="30">
      <c r="A1373" s="1736"/>
      <c r="B1373" s="1599"/>
      <c r="C1373" s="1599"/>
      <c r="D1373" s="1505"/>
      <c r="E1373" s="1505"/>
      <c r="F1373" s="1192" t="s">
        <v>325</v>
      </c>
      <c r="G1373" s="329" t="s">
        <v>2021</v>
      </c>
      <c r="H1373" s="807" t="s">
        <v>160</v>
      </c>
      <c r="I1373" s="1189">
        <v>7000</v>
      </c>
      <c r="J1373" s="1189">
        <f>'preturi unitare'!H40</f>
        <v>154</v>
      </c>
      <c r="K1373" s="1189">
        <f t="shared" si="111"/>
        <v>1078000</v>
      </c>
      <c r="L1373" s="334">
        <v>0</v>
      </c>
      <c r="M1373" s="334">
        <f>K1373</f>
        <v>1078000</v>
      </c>
      <c r="N1373" s="375">
        <v>0</v>
      </c>
      <c r="O1373" s="1512"/>
      <c r="P1373" s="1512"/>
      <c r="Q1373" s="1522"/>
    </row>
    <row r="1374" spans="1:19" s="378" customFormat="1">
      <c r="A1374" s="820"/>
      <c r="B1374" s="761"/>
      <c r="C1374" s="761"/>
      <c r="D1374" s="760"/>
      <c r="E1374" s="760"/>
      <c r="F1374" s="762"/>
      <c r="G1374" s="384"/>
      <c r="H1374" s="776"/>
      <c r="I1374" s="776"/>
      <c r="J1374" s="776"/>
      <c r="K1374" s="776"/>
      <c r="L1374" s="334"/>
      <c r="M1374" s="334"/>
      <c r="N1374" s="326"/>
      <c r="O1374" s="777"/>
      <c r="P1374" s="777"/>
      <c r="Q1374" s="587"/>
    </row>
    <row r="1375" spans="1:19">
      <c r="A1375" s="1532" t="s">
        <v>438</v>
      </c>
      <c r="B1375" s="1533"/>
      <c r="C1375" s="1533"/>
      <c r="D1375" s="1533"/>
      <c r="E1375" s="1533"/>
      <c r="F1375" s="1533"/>
      <c r="G1375" s="1534"/>
      <c r="H1375" s="364"/>
      <c r="I1375" s="364"/>
      <c r="J1375" s="364"/>
      <c r="K1375" s="364">
        <f>SUM(K1367:K1373)</f>
        <v>2562500</v>
      </c>
      <c r="L1375" s="365">
        <f>SUM(L1367:L1373)</f>
        <v>442000</v>
      </c>
      <c r="M1375" s="365">
        <f>SUM(M1367:M1373)</f>
        <v>2120500</v>
      </c>
      <c r="N1375" s="364">
        <f>SUM(N1367:N1373)</f>
        <v>0</v>
      </c>
      <c r="O1375" s="776"/>
      <c r="P1375" s="776"/>
      <c r="Q1375" s="587"/>
    </row>
    <row r="1376" spans="1:19">
      <c r="A1376" s="820"/>
      <c r="B1376" s="782"/>
      <c r="C1376" s="782"/>
      <c r="D1376" s="763"/>
      <c r="E1376" s="763"/>
      <c r="F1376" s="762"/>
      <c r="G1376" s="328"/>
      <c r="H1376" s="776"/>
      <c r="I1376" s="776"/>
      <c r="J1376" s="776"/>
      <c r="K1376" s="776"/>
      <c r="L1376" s="334"/>
      <c r="M1376" s="334"/>
      <c r="N1376" s="776"/>
      <c r="O1376" s="776"/>
      <c r="P1376" s="776"/>
      <c r="Q1376" s="587"/>
    </row>
    <row r="1377" spans="1:17" ht="15" customHeight="1" thickBot="1">
      <c r="A1377" s="1474" t="s">
        <v>439</v>
      </c>
      <c r="B1377" s="1475"/>
      <c r="C1377" s="1475"/>
      <c r="D1377" s="1475"/>
      <c r="E1377" s="1475"/>
      <c r="F1377" s="1475"/>
      <c r="G1377" s="1476"/>
      <c r="H1377" s="581"/>
      <c r="I1377" s="581"/>
      <c r="J1377" s="581"/>
      <c r="K1377" s="582">
        <f>K1363+K1375</f>
        <v>3762980</v>
      </c>
      <c r="L1377" s="583">
        <f>L1363+L1375</f>
        <v>1642480</v>
      </c>
      <c r="M1377" s="583">
        <f>M1363+M1375</f>
        <v>2120500</v>
      </c>
      <c r="N1377" s="582">
        <f>N1363+N1375</f>
        <v>0</v>
      </c>
      <c r="O1377" s="581"/>
      <c r="P1377" s="581"/>
      <c r="Q1377" s="816"/>
    </row>
    <row r="1378" spans="1:17" s="382" customFormat="1" ht="15" customHeight="1" thickBot="1">
      <c r="A1378" s="586"/>
      <c r="B1378" s="595"/>
      <c r="C1378" s="595"/>
      <c r="D1378" s="595"/>
      <c r="E1378" s="595"/>
      <c r="F1378" s="595"/>
      <c r="G1378" s="595"/>
      <c r="H1378" s="716"/>
      <c r="I1378" s="716"/>
      <c r="J1378" s="716"/>
      <c r="K1378" s="626"/>
      <c r="L1378" s="592"/>
      <c r="M1378" s="592"/>
      <c r="N1378" s="626"/>
      <c r="O1378" s="716"/>
      <c r="P1378" s="716"/>
      <c r="Q1378" s="959"/>
    </row>
    <row r="1379" spans="1:17" s="382" customFormat="1" ht="15.75" thickBot="1">
      <c r="A1379" s="859"/>
      <c r="B1379" s="639"/>
      <c r="C1379" s="639"/>
      <c r="D1379" s="841"/>
      <c r="E1379" s="841"/>
      <c r="F1379" s="846"/>
      <c r="G1379" s="577" t="s">
        <v>1930</v>
      </c>
      <c r="H1379" s="872"/>
      <c r="I1379" s="873"/>
      <c r="J1379" s="641"/>
      <c r="K1379" s="639"/>
      <c r="L1379" s="640"/>
      <c r="M1379" s="640"/>
      <c r="N1379" s="639"/>
      <c r="O1379" s="841"/>
      <c r="P1379" s="841"/>
      <c r="Q1379" s="962"/>
    </row>
    <row r="1380" spans="1:17" s="382" customFormat="1" ht="15.75" thickBot="1">
      <c r="A1380" s="833"/>
      <c r="B1380" s="355"/>
      <c r="C1380" s="355"/>
      <c r="D1380" s="898"/>
      <c r="E1380" s="898"/>
      <c r="F1380" s="356"/>
      <c r="G1380" s="576"/>
      <c r="H1380" s="358"/>
      <c r="I1380" s="358"/>
      <c r="J1380" s="358"/>
      <c r="K1380" s="358"/>
      <c r="L1380" s="359"/>
      <c r="M1380" s="359"/>
      <c r="N1380" s="358"/>
      <c r="O1380" s="770"/>
      <c r="P1380" s="770"/>
      <c r="Q1380" s="834"/>
    </row>
    <row r="1381" spans="1:17" s="382" customFormat="1" ht="60">
      <c r="A1381" s="1562" t="s">
        <v>1452</v>
      </c>
      <c r="B1381" s="1564" t="s">
        <v>676</v>
      </c>
      <c r="C1381" s="1564" t="s">
        <v>610</v>
      </c>
      <c r="D1381" s="1538" t="s">
        <v>611</v>
      </c>
      <c r="E1381" s="1538" t="s">
        <v>1453</v>
      </c>
      <c r="F1381" s="1472" t="s">
        <v>159</v>
      </c>
      <c r="G1381" s="1509" t="s">
        <v>110</v>
      </c>
      <c r="H1381" s="1477" t="s">
        <v>316</v>
      </c>
      <c r="I1381" s="1472" t="s">
        <v>315</v>
      </c>
      <c r="J1381" s="1472" t="s">
        <v>317</v>
      </c>
      <c r="K1381" s="1472" t="s">
        <v>318</v>
      </c>
      <c r="L1381" s="569" t="s">
        <v>1443</v>
      </c>
      <c r="M1381" s="569" t="s">
        <v>1444</v>
      </c>
      <c r="N1381" s="752" t="s">
        <v>1445</v>
      </c>
      <c r="O1381" s="1477" t="s">
        <v>1673</v>
      </c>
      <c r="P1381" s="1477" t="s">
        <v>1307</v>
      </c>
      <c r="Q1381" s="1495" t="s">
        <v>1454</v>
      </c>
    </row>
    <row r="1382" spans="1:17" s="382" customFormat="1" ht="15.75" thickBot="1">
      <c r="A1382" s="1563"/>
      <c r="B1382" s="1565"/>
      <c r="C1382" s="1565"/>
      <c r="D1382" s="1539"/>
      <c r="E1382" s="1539"/>
      <c r="F1382" s="1473"/>
      <c r="G1382" s="1510"/>
      <c r="H1382" s="1478"/>
      <c r="I1382" s="1473"/>
      <c r="J1382" s="1473"/>
      <c r="K1382" s="1473"/>
      <c r="L1382" s="570" t="s">
        <v>805</v>
      </c>
      <c r="M1382" s="570" t="s">
        <v>805</v>
      </c>
      <c r="N1382" s="753" t="s">
        <v>1149</v>
      </c>
      <c r="O1382" s="1478"/>
      <c r="P1382" s="1478"/>
      <c r="Q1382" s="1496"/>
    </row>
    <row r="1383" spans="1:17" s="382" customFormat="1" ht="30">
      <c r="A1383" s="1635" t="s">
        <v>1345</v>
      </c>
      <c r="B1383" s="1599" t="s">
        <v>1487</v>
      </c>
      <c r="C1383" s="1599" t="s">
        <v>1346</v>
      </c>
      <c r="D1383" s="1505">
        <v>804</v>
      </c>
      <c r="E1383" s="1725" t="s">
        <v>1451</v>
      </c>
      <c r="F1383" s="757" t="s">
        <v>140</v>
      </c>
      <c r="G1383" s="412" t="s">
        <v>1347</v>
      </c>
      <c r="H1383" s="422" t="s">
        <v>280</v>
      </c>
      <c r="I1383" s="756">
        <v>1</v>
      </c>
      <c r="J1383" s="756">
        <f>'preturi unitare'!O4</f>
        <v>125000</v>
      </c>
      <c r="K1383" s="756">
        <f t="shared" ref="K1383:K1397" si="112">I1383*J1383</f>
        <v>125000</v>
      </c>
      <c r="L1383" s="411">
        <f t="shared" ref="L1383:L1388" si="113">K1383</f>
        <v>125000</v>
      </c>
      <c r="M1383" s="411">
        <v>0</v>
      </c>
      <c r="N1383" s="756">
        <v>0</v>
      </c>
      <c r="O1383" s="1512">
        <f>SUM(L1383:L1385)</f>
        <v>511500</v>
      </c>
      <c r="P1383" s="1512">
        <f>O1383/D1383</f>
        <v>636.19402985074623</v>
      </c>
      <c r="Q1383" s="1549" t="s">
        <v>1666</v>
      </c>
    </row>
    <row r="1384" spans="1:17" s="382" customFormat="1" ht="30">
      <c r="A1384" s="1568"/>
      <c r="B1384" s="1701"/>
      <c r="C1384" s="1567"/>
      <c r="D1384" s="1514"/>
      <c r="E1384" s="1504"/>
      <c r="F1384" s="762" t="s">
        <v>322</v>
      </c>
      <c r="G1384" s="362" t="s">
        <v>1348</v>
      </c>
      <c r="H1384" s="807" t="s">
        <v>160</v>
      </c>
      <c r="I1384" s="776">
        <v>5000</v>
      </c>
      <c r="J1384" s="776">
        <f>'preturi unitare'!H22</f>
        <v>64</v>
      </c>
      <c r="K1384" s="776">
        <f t="shared" si="112"/>
        <v>320000</v>
      </c>
      <c r="L1384" s="334">
        <f t="shared" si="113"/>
        <v>320000</v>
      </c>
      <c r="M1384" s="334">
        <v>0</v>
      </c>
      <c r="N1384" s="776">
        <v>0</v>
      </c>
      <c r="O1384" s="1515"/>
      <c r="P1384" s="1515"/>
      <c r="Q1384" s="1550"/>
    </row>
    <row r="1385" spans="1:17" s="382" customFormat="1" ht="32.25">
      <c r="A1385" s="1568"/>
      <c r="B1385" s="1701"/>
      <c r="C1385" s="1567"/>
      <c r="D1385" s="1514"/>
      <c r="E1385" s="1505"/>
      <c r="F1385" s="762" t="s">
        <v>279</v>
      </c>
      <c r="G1385" s="329" t="s">
        <v>1349</v>
      </c>
      <c r="H1385" s="653" t="s">
        <v>280</v>
      </c>
      <c r="I1385" s="776">
        <v>1</v>
      </c>
      <c r="J1385" s="776">
        <f>'preturi unitare'!E26+'preturi unitare'!E6</f>
        <v>66500</v>
      </c>
      <c r="K1385" s="776">
        <f t="shared" si="112"/>
        <v>66500</v>
      </c>
      <c r="L1385" s="334">
        <f t="shared" si="113"/>
        <v>66500</v>
      </c>
      <c r="M1385" s="334">
        <v>0</v>
      </c>
      <c r="N1385" s="776">
        <v>0</v>
      </c>
      <c r="O1385" s="1515"/>
      <c r="P1385" s="1515"/>
      <c r="Q1385" s="1550"/>
    </row>
    <row r="1386" spans="1:17" s="382" customFormat="1" ht="30" customHeight="1">
      <c r="A1386" s="1568"/>
      <c r="B1386" s="1701" t="s">
        <v>1487</v>
      </c>
      <c r="C1386" s="1567" t="s">
        <v>1350</v>
      </c>
      <c r="D1386" s="1514">
        <v>220</v>
      </c>
      <c r="E1386" s="1620" t="s">
        <v>1451</v>
      </c>
      <c r="F1386" s="762" t="s">
        <v>322</v>
      </c>
      <c r="G1386" s="362" t="s">
        <v>1351</v>
      </c>
      <c r="H1386" s="807" t="s">
        <v>160</v>
      </c>
      <c r="I1386" s="776">
        <v>2000</v>
      </c>
      <c r="J1386" s="776">
        <f>J1384</f>
        <v>64</v>
      </c>
      <c r="K1386" s="776">
        <f t="shared" si="112"/>
        <v>128000</v>
      </c>
      <c r="L1386" s="334">
        <f t="shared" si="113"/>
        <v>128000</v>
      </c>
      <c r="M1386" s="334">
        <v>0</v>
      </c>
      <c r="N1386" s="776">
        <v>0</v>
      </c>
      <c r="O1386" s="1515">
        <f>SUM(L1386:L1387)</f>
        <v>176000</v>
      </c>
      <c r="P1386" s="1515">
        <f>O1386/D1386</f>
        <v>800</v>
      </c>
      <c r="Q1386" s="1551" t="s">
        <v>1668</v>
      </c>
    </row>
    <row r="1387" spans="1:17" s="382" customFormat="1" ht="46.5" customHeight="1">
      <c r="A1387" s="1568"/>
      <c r="B1387" s="1701"/>
      <c r="C1387" s="1567"/>
      <c r="D1387" s="1514"/>
      <c r="E1387" s="1505"/>
      <c r="F1387" s="762" t="s">
        <v>279</v>
      </c>
      <c r="G1387" s="329" t="s">
        <v>1352</v>
      </c>
      <c r="H1387" s="653" t="s">
        <v>280</v>
      </c>
      <c r="I1387" s="776">
        <v>1</v>
      </c>
      <c r="J1387" s="776">
        <f>'preturi unitare'!E31+'preturi unitare'!E6</f>
        <v>48000</v>
      </c>
      <c r="K1387" s="776">
        <f t="shared" si="112"/>
        <v>48000</v>
      </c>
      <c r="L1387" s="334">
        <f t="shared" si="113"/>
        <v>48000</v>
      </c>
      <c r="M1387" s="334">
        <v>0</v>
      </c>
      <c r="N1387" s="776">
        <v>0</v>
      </c>
      <c r="O1387" s="1515"/>
      <c r="P1387" s="1515"/>
      <c r="Q1387" s="1550"/>
    </row>
    <row r="1388" spans="1:17" s="382" customFormat="1" ht="30">
      <c r="A1388" s="1568"/>
      <c r="B1388" s="1567" t="s">
        <v>1487</v>
      </c>
      <c r="C1388" s="1567" t="s">
        <v>1353</v>
      </c>
      <c r="D1388" s="1514">
        <v>157</v>
      </c>
      <c r="E1388" s="1620" t="s">
        <v>1451</v>
      </c>
      <c r="F1388" s="762" t="s">
        <v>140</v>
      </c>
      <c r="G1388" s="329" t="s">
        <v>1354</v>
      </c>
      <c r="H1388" s="653" t="s">
        <v>280</v>
      </c>
      <c r="I1388" s="776">
        <v>1</v>
      </c>
      <c r="J1388" s="776">
        <f>'preturi unitare'!K4</f>
        <v>89000</v>
      </c>
      <c r="K1388" s="776">
        <f t="shared" si="112"/>
        <v>89000</v>
      </c>
      <c r="L1388" s="334">
        <f t="shared" si="113"/>
        <v>89000</v>
      </c>
      <c r="M1388" s="334">
        <v>0</v>
      </c>
      <c r="N1388" s="776">
        <v>0</v>
      </c>
      <c r="O1388" s="1515">
        <f>SUM(L1388:L1390)</f>
        <v>137000</v>
      </c>
      <c r="P1388" s="1515">
        <f>O1388/D1388</f>
        <v>872.61146496815286</v>
      </c>
      <c r="Q1388" s="1551" t="s">
        <v>1669</v>
      </c>
    </row>
    <row r="1389" spans="1:17" s="382" customFormat="1" ht="30">
      <c r="A1389" s="1568"/>
      <c r="B1389" s="1701"/>
      <c r="C1389" s="1567"/>
      <c r="D1389" s="1514"/>
      <c r="E1389" s="1504"/>
      <c r="F1389" s="762" t="s">
        <v>322</v>
      </c>
      <c r="G1389" s="362" t="s">
        <v>1355</v>
      </c>
      <c r="H1389" s="807" t="s">
        <v>160</v>
      </c>
      <c r="I1389" s="776">
        <v>2500</v>
      </c>
      <c r="J1389" s="776">
        <f>J1386</f>
        <v>64</v>
      </c>
      <c r="K1389" s="776">
        <f t="shared" si="112"/>
        <v>160000</v>
      </c>
      <c r="L1389" s="334">
        <v>0</v>
      </c>
      <c r="M1389" s="334">
        <f>K1389</f>
        <v>160000</v>
      </c>
      <c r="N1389" s="776">
        <v>0</v>
      </c>
      <c r="O1389" s="1515"/>
      <c r="P1389" s="1515"/>
      <c r="Q1389" s="1550"/>
    </row>
    <row r="1390" spans="1:17" s="382" customFormat="1" ht="47.25">
      <c r="A1390" s="1568"/>
      <c r="B1390" s="1701"/>
      <c r="C1390" s="1567"/>
      <c r="D1390" s="1514"/>
      <c r="E1390" s="1505"/>
      <c r="F1390" s="762" t="s">
        <v>279</v>
      </c>
      <c r="G1390" s="329" t="s">
        <v>1876</v>
      </c>
      <c r="H1390" s="653" t="s">
        <v>280</v>
      </c>
      <c r="I1390" s="776">
        <v>1</v>
      </c>
      <c r="J1390" s="776">
        <f>J1387</f>
        <v>48000</v>
      </c>
      <c r="K1390" s="776">
        <f t="shared" si="112"/>
        <v>48000</v>
      </c>
      <c r="L1390" s="334">
        <f>K1390</f>
        <v>48000</v>
      </c>
      <c r="M1390" s="334">
        <v>0</v>
      </c>
      <c r="N1390" s="776">
        <v>0</v>
      </c>
      <c r="O1390" s="1515"/>
      <c r="P1390" s="1515"/>
      <c r="Q1390" s="1550"/>
    </row>
    <row r="1391" spans="1:17" s="382" customFormat="1" ht="30">
      <c r="A1391" s="1568"/>
      <c r="B1391" s="1567" t="s">
        <v>1487</v>
      </c>
      <c r="C1391" s="1567" t="s">
        <v>1356</v>
      </c>
      <c r="D1391" s="1514">
        <v>105</v>
      </c>
      <c r="E1391" s="1620" t="s">
        <v>1451</v>
      </c>
      <c r="F1391" s="762" t="s">
        <v>140</v>
      </c>
      <c r="G1391" s="329" t="s">
        <v>1357</v>
      </c>
      <c r="H1391" s="653" t="s">
        <v>280</v>
      </c>
      <c r="I1391" s="776">
        <v>1</v>
      </c>
      <c r="J1391" s="776">
        <f>'preturi unitare'!K4</f>
        <v>89000</v>
      </c>
      <c r="K1391" s="776">
        <f t="shared" si="112"/>
        <v>89000</v>
      </c>
      <c r="L1391" s="334">
        <f>K1391</f>
        <v>89000</v>
      </c>
      <c r="M1391" s="334">
        <v>0</v>
      </c>
      <c r="N1391" s="776">
        <v>0</v>
      </c>
      <c r="O1391" s="1515">
        <f>SUM(L1391:L1393)</f>
        <v>89000</v>
      </c>
      <c r="P1391" s="1515">
        <f>O1391/D1391</f>
        <v>847.61904761904759</v>
      </c>
      <c r="Q1391" s="1551" t="s">
        <v>1667</v>
      </c>
    </row>
    <row r="1392" spans="1:17" s="382" customFormat="1" ht="30">
      <c r="A1392" s="1568"/>
      <c r="B1392" s="1701"/>
      <c r="C1392" s="1567"/>
      <c r="D1392" s="1514"/>
      <c r="E1392" s="1504"/>
      <c r="F1392" s="762" t="s">
        <v>322</v>
      </c>
      <c r="G1392" s="362" t="s">
        <v>1358</v>
      </c>
      <c r="H1392" s="807" t="s">
        <v>160</v>
      </c>
      <c r="I1392" s="776">
        <v>2000</v>
      </c>
      <c r="J1392" s="776">
        <f>J1389</f>
        <v>64</v>
      </c>
      <c r="K1392" s="776">
        <f t="shared" si="112"/>
        <v>128000</v>
      </c>
      <c r="L1392" s="334">
        <v>0</v>
      </c>
      <c r="M1392" s="334">
        <f>K1392</f>
        <v>128000</v>
      </c>
      <c r="N1392" s="776">
        <v>0</v>
      </c>
      <c r="O1392" s="1515"/>
      <c r="P1392" s="1515"/>
      <c r="Q1392" s="1550"/>
    </row>
    <row r="1393" spans="1:17" s="382" customFormat="1" ht="32.25">
      <c r="A1393" s="1568"/>
      <c r="B1393" s="1701"/>
      <c r="C1393" s="1567"/>
      <c r="D1393" s="1514"/>
      <c r="E1393" s="1505"/>
      <c r="F1393" s="762" t="s">
        <v>279</v>
      </c>
      <c r="G1393" s="329" t="s">
        <v>1359</v>
      </c>
      <c r="H1393" s="653" t="s">
        <v>280</v>
      </c>
      <c r="I1393" s="776">
        <v>1</v>
      </c>
      <c r="J1393" s="776">
        <f>J1387</f>
        <v>48000</v>
      </c>
      <c r="K1393" s="776">
        <f t="shared" si="112"/>
        <v>48000</v>
      </c>
      <c r="L1393" s="334">
        <v>0</v>
      </c>
      <c r="M1393" s="334">
        <f>K1393</f>
        <v>48000</v>
      </c>
      <c r="N1393" s="776">
        <v>0</v>
      </c>
      <c r="O1393" s="1515"/>
      <c r="P1393" s="1515"/>
      <c r="Q1393" s="1550"/>
    </row>
    <row r="1394" spans="1:17" s="382" customFormat="1" ht="30">
      <c r="A1394" s="1568"/>
      <c r="B1394" s="1567" t="s">
        <v>1487</v>
      </c>
      <c r="C1394" s="1567" t="s">
        <v>1360</v>
      </c>
      <c r="D1394" s="1514">
        <v>135</v>
      </c>
      <c r="E1394" s="1620" t="s">
        <v>1451</v>
      </c>
      <c r="F1394" s="762" t="s">
        <v>140</v>
      </c>
      <c r="G1394" s="329" t="s">
        <v>1377</v>
      </c>
      <c r="H1394" s="653" t="s">
        <v>280</v>
      </c>
      <c r="I1394" s="776">
        <v>1</v>
      </c>
      <c r="J1394" s="776">
        <f>J1391</f>
        <v>89000</v>
      </c>
      <c r="K1394" s="776">
        <f t="shared" si="112"/>
        <v>89000</v>
      </c>
      <c r="L1394" s="334">
        <f>K1394</f>
        <v>89000</v>
      </c>
      <c r="M1394" s="334">
        <v>0</v>
      </c>
      <c r="N1394" s="776">
        <v>0</v>
      </c>
      <c r="O1394" s="1515">
        <f>SUM(L1394:L1396)</f>
        <v>137000</v>
      </c>
      <c r="P1394" s="1515">
        <f>O1394/D1394</f>
        <v>1014.8148148148148</v>
      </c>
      <c r="Q1394" s="1551" t="s">
        <v>1666</v>
      </c>
    </row>
    <row r="1395" spans="1:17" s="382" customFormat="1" ht="30">
      <c r="A1395" s="1568"/>
      <c r="B1395" s="1701"/>
      <c r="C1395" s="1567"/>
      <c r="D1395" s="1514"/>
      <c r="E1395" s="1504"/>
      <c r="F1395" s="762" t="s">
        <v>322</v>
      </c>
      <c r="G1395" s="362" t="s">
        <v>1361</v>
      </c>
      <c r="H1395" s="807" t="s">
        <v>160</v>
      </c>
      <c r="I1395" s="776">
        <v>2000</v>
      </c>
      <c r="J1395" s="776">
        <f>J1392</f>
        <v>64</v>
      </c>
      <c r="K1395" s="776">
        <f t="shared" si="112"/>
        <v>128000</v>
      </c>
      <c r="L1395" s="334">
        <v>0</v>
      </c>
      <c r="M1395" s="334">
        <f>K1395</f>
        <v>128000</v>
      </c>
      <c r="N1395" s="776">
        <v>0</v>
      </c>
      <c r="O1395" s="1515"/>
      <c r="P1395" s="1515"/>
      <c r="Q1395" s="1550"/>
    </row>
    <row r="1396" spans="1:17" s="382" customFormat="1" ht="47.25">
      <c r="A1396" s="1568"/>
      <c r="B1396" s="1701"/>
      <c r="C1396" s="1567"/>
      <c r="D1396" s="1514"/>
      <c r="E1396" s="1505"/>
      <c r="F1396" s="762" t="s">
        <v>279</v>
      </c>
      <c r="G1396" s="329" t="s">
        <v>1362</v>
      </c>
      <c r="H1396" s="653" t="s">
        <v>280</v>
      </c>
      <c r="I1396" s="776">
        <v>1</v>
      </c>
      <c r="J1396" s="776">
        <f>J1390</f>
        <v>48000</v>
      </c>
      <c r="K1396" s="776">
        <f t="shared" si="112"/>
        <v>48000</v>
      </c>
      <c r="L1396" s="334">
        <f>K1396</f>
        <v>48000</v>
      </c>
      <c r="M1396" s="334">
        <v>0</v>
      </c>
      <c r="N1396" s="776">
        <v>0</v>
      </c>
      <c r="O1396" s="1515"/>
      <c r="P1396" s="1515"/>
      <c r="Q1396" s="1550"/>
    </row>
    <row r="1397" spans="1:17" s="382" customFormat="1" ht="92.25" customHeight="1">
      <c r="A1397" s="1568"/>
      <c r="B1397" s="751" t="s">
        <v>1487</v>
      </c>
      <c r="C1397" s="751" t="s">
        <v>1363</v>
      </c>
      <c r="D1397" s="754">
        <v>390</v>
      </c>
      <c r="E1397" s="653" t="s">
        <v>1451</v>
      </c>
      <c r="F1397" s="762" t="s">
        <v>322</v>
      </c>
      <c r="G1397" s="329" t="s">
        <v>1364</v>
      </c>
      <c r="H1397" s="807" t="s">
        <v>160</v>
      </c>
      <c r="I1397" s="776">
        <v>3000</v>
      </c>
      <c r="J1397" s="776">
        <f>J1395</f>
        <v>64</v>
      </c>
      <c r="K1397" s="776">
        <f t="shared" si="112"/>
        <v>192000</v>
      </c>
      <c r="L1397" s="334">
        <f>K1397</f>
        <v>192000</v>
      </c>
      <c r="M1397" s="334">
        <v>0</v>
      </c>
      <c r="N1397" s="776">
        <v>0</v>
      </c>
      <c r="O1397" s="755">
        <f>L1397</f>
        <v>192000</v>
      </c>
      <c r="P1397" s="755">
        <f>O1397/D1397</f>
        <v>492.30769230769232</v>
      </c>
      <c r="Q1397" s="989" t="s">
        <v>1669</v>
      </c>
    </row>
    <row r="1398" spans="1:17" s="382" customFormat="1">
      <c r="A1398" s="820"/>
      <c r="B1398" s="326"/>
      <c r="C1398" s="326"/>
      <c r="D1398" s="385"/>
      <c r="E1398" s="385"/>
      <c r="F1398" s="326"/>
      <c r="G1398" s="326"/>
      <c r="H1398" s="326"/>
      <c r="I1398" s="776"/>
      <c r="J1398" s="776"/>
      <c r="K1398" s="776"/>
      <c r="L1398" s="334"/>
      <c r="M1398" s="334"/>
      <c r="N1398" s="326"/>
      <c r="O1398" s="777"/>
      <c r="P1398" s="777"/>
      <c r="Q1398" s="990"/>
    </row>
    <row r="1399" spans="1:17" s="382" customFormat="1">
      <c r="A1399" s="1532" t="s">
        <v>1365</v>
      </c>
      <c r="B1399" s="1533"/>
      <c r="C1399" s="1533"/>
      <c r="D1399" s="1533"/>
      <c r="E1399" s="1533"/>
      <c r="F1399" s="1533"/>
      <c r="G1399" s="1534"/>
      <c r="H1399" s="793"/>
      <c r="I1399" s="776"/>
      <c r="J1399" s="776"/>
      <c r="K1399" s="364">
        <f>SUM(K1383:K1397)</f>
        <v>1706500</v>
      </c>
      <c r="L1399" s="365">
        <f>SUM(L1383:L1397)</f>
        <v>1242500</v>
      </c>
      <c r="M1399" s="365">
        <f>SUM(M1383:M1397)</f>
        <v>464000</v>
      </c>
      <c r="N1399" s="364">
        <f>SUM(N1383:N1397)</f>
        <v>0</v>
      </c>
      <c r="O1399" s="776"/>
      <c r="P1399" s="776"/>
      <c r="Q1399" s="990"/>
    </row>
    <row r="1400" spans="1:17" s="382" customFormat="1" ht="15.75" thickBot="1">
      <c r="A1400" s="833"/>
      <c r="B1400" s="397"/>
      <c r="C1400" s="397"/>
      <c r="D1400" s="768"/>
      <c r="E1400" s="768"/>
      <c r="F1400" s="766"/>
      <c r="G1400" s="417"/>
      <c r="H1400" s="732"/>
      <c r="I1400" s="732"/>
      <c r="J1400" s="732"/>
      <c r="K1400" s="732"/>
      <c r="L1400" s="426"/>
      <c r="M1400" s="426"/>
      <c r="N1400" s="418"/>
      <c r="O1400" s="770"/>
      <c r="P1400" s="770"/>
      <c r="Q1400" s="834"/>
    </row>
    <row r="1401" spans="1:17" s="382" customFormat="1" ht="60">
      <c r="A1401" s="1542" t="s">
        <v>632</v>
      </c>
      <c r="B1401" s="1544" t="s">
        <v>617</v>
      </c>
      <c r="C1401" s="1538" t="s">
        <v>610</v>
      </c>
      <c r="D1401" s="1538" t="s">
        <v>611</v>
      </c>
      <c r="E1401" s="1538" t="s">
        <v>1453</v>
      </c>
      <c r="F1401" s="1472" t="s">
        <v>159</v>
      </c>
      <c r="G1401" s="1509" t="s">
        <v>110</v>
      </c>
      <c r="H1401" s="1477" t="s">
        <v>316</v>
      </c>
      <c r="I1401" s="1472" t="s">
        <v>315</v>
      </c>
      <c r="J1401" s="1472" t="s">
        <v>317</v>
      </c>
      <c r="K1401" s="1472" t="s">
        <v>318</v>
      </c>
      <c r="L1401" s="569" t="s">
        <v>1443</v>
      </c>
      <c r="M1401" s="569" t="s">
        <v>1444</v>
      </c>
      <c r="N1401" s="752" t="s">
        <v>1445</v>
      </c>
      <c r="O1401" s="1477" t="s">
        <v>1673</v>
      </c>
      <c r="P1401" s="1477" t="s">
        <v>1307</v>
      </c>
      <c r="Q1401" s="1495" t="s">
        <v>1454</v>
      </c>
    </row>
    <row r="1402" spans="1:17" s="382" customFormat="1" ht="15.75" thickBot="1">
      <c r="A1402" s="1543"/>
      <c r="B1402" s="1545"/>
      <c r="C1402" s="1539"/>
      <c r="D1402" s="1539"/>
      <c r="E1402" s="1539"/>
      <c r="F1402" s="1473"/>
      <c r="G1402" s="1510"/>
      <c r="H1402" s="1478"/>
      <c r="I1402" s="1473"/>
      <c r="J1402" s="1473"/>
      <c r="K1402" s="1473"/>
      <c r="L1402" s="570" t="s">
        <v>805</v>
      </c>
      <c r="M1402" s="570" t="s">
        <v>805</v>
      </c>
      <c r="N1402" s="753" t="s">
        <v>1149</v>
      </c>
      <c r="O1402" s="1478"/>
      <c r="P1402" s="1478"/>
      <c r="Q1402" s="1496"/>
    </row>
    <row r="1403" spans="1:17" s="382" customFormat="1" ht="45">
      <c r="A1403" s="1635" t="s">
        <v>1345</v>
      </c>
      <c r="B1403" s="1599" t="s">
        <v>1451</v>
      </c>
      <c r="C1403" s="1599" t="s">
        <v>1346</v>
      </c>
      <c r="D1403" s="1505">
        <f>D1383</f>
        <v>804</v>
      </c>
      <c r="E1403" s="1503">
        <f>D1403</f>
        <v>804</v>
      </c>
      <c r="F1403" s="757" t="s">
        <v>144</v>
      </c>
      <c r="G1403" s="423" t="s">
        <v>1366</v>
      </c>
      <c r="H1403" s="431" t="s">
        <v>160</v>
      </c>
      <c r="I1403" s="756">
        <v>2500</v>
      </c>
      <c r="J1403" s="756">
        <f>'preturi unitare'!H41</f>
        <v>165</v>
      </c>
      <c r="K1403" s="756">
        <f t="shared" ref="K1403:K1411" si="114">I1403*J1403</f>
        <v>412500</v>
      </c>
      <c r="L1403" s="411">
        <v>0</v>
      </c>
      <c r="M1403" s="411">
        <f>K1403</f>
        <v>412500</v>
      </c>
      <c r="N1403" s="756">
        <v>0</v>
      </c>
      <c r="O1403" s="1512">
        <f>SUM(M1403:M1405)</f>
        <v>1249500</v>
      </c>
      <c r="P1403" s="1512">
        <f>O1403/D1403</f>
        <v>1554.1044776119404</v>
      </c>
      <c r="Q1403" s="1520" t="s">
        <v>1545</v>
      </c>
    </row>
    <row r="1404" spans="1:17" s="382" customFormat="1" ht="30">
      <c r="A1404" s="1568"/>
      <c r="B1404" s="1701"/>
      <c r="C1404" s="1567"/>
      <c r="D1404" s="1514"/>
      <c r="E1404" s="1504"/>
      <c r="F1404" s="762" t="s">
        <v>324</v>
      </c>
      <c r="G1404" s="362" t="s">
        <v>1367</v>
      </c>
      <c r="H1404" s="807" t="s">
        <v>280</v>
      </c>
      <c r="I1404" s="776">
        <v>1</v>
      </c>
      <c r="J1404" s="776">
        <f>'preturi unitare'!B32</f>
        <v>67000</v>
      </c>
      <c r="K1404" s="776">
        <f t="shared" si="114"/>
        <v>67000</v>
      </c>
      <c r="L1404" s="334">
        <v>0</v>
      </c>
      <c r="M1404" s="411">
        <f t="shared" ref="M1404:M1411" si="115">K1404</f>
        <v>67000</v>
      </c>
      <c r="N1404" s="1280">
        <v>0</v>
      </c>
      <c r="O1404" s="1515"/>
      <c r="P1404" s="1515"/>
      <c r="Q1404" s="1521"/>
    </row>
    <row r="1405" spans="1:17" s="382" customFormat="1" ht="30">
      <c r="A1405" s="1568"/>
      <c r="B1405" s="1701"/>
      <c r="C1405" s="1567"/>
      <c r="D1405" s="1514"/>
      <c r="E1405" s="1505"/>
      <c r="F1405" s="762" t="s">
        <v>325</v>
      </c>
      <c r="G1405" s="362" t="s">
        <v>1368</v>
      </c>
      <c r="H1405" s="807" t="s">
        <v>160</v>
      </c>
      <c r="I1405" s="776">
        <v>5000</v>
      </c>
      <c r="J1405" s="776">
        <f>'preturi unitare'!H40</f>
        <v>154</v>
      </c>
      <c r="K1405" s="776">
        <f t="shared" si="114"/>
        <v>770000</v>
      </c>
      <c r="L1405" s="334">
        <v>0</v>
      </c>
      <c r="M1405" s="411">
        <f t="shared" si="115"/>
        <v>770000</v>
      </c>
      <c r="N1405" s="1280">
        <v>0</v>
      </c>
      <c r="O1405" s="1515"/>
      <c r="P1405" s="1515"/>
      <c r="Q1405" s="1522"/>
    </row>
    <row r="1406" spans="1:17" s="382" customFormat="1" ht="30" customHeight="1">
      <c r="A1406" s="1568"/>
      <c r="B1406" s="1701"/>
      <c r="C1406" s="751" t="s">
        <v>1350</v>
      </c>
      <c r="D1406" s="754">
        <f>D1386</f>
        <v>220</v>
      </c>
      <c r="E1406" s="754">
        <f>D1406</f>
        <v>220</v>
      </c>
      <c r="F1406" s="762" t="s">
        <v>323</v>
      </c>
      <c r="G1406" s="362" t="s">
        <v>1369</v>
      </c>
      <c r="H1406" s="807" t="s">
        <v>1322</v>
      </c>
      <c r="I1406" s="776">
        <v>1</v>
      </c>
      <c r="J1406" s="776">
        <f>'preturi unitare'!N4</f>
        <v>70000</v>
      </c>
      <c r="K1406" s="776">
        <f t="shared" si="114"/>
        <v>70000</v>
      </c>
      <c r="L1406" s="334">
        <v>0</v>
      </c>
      <c r="M1406" s="411">
        <f t="shared" si="115"/>
        <v>70000</v>
      </c>
      <c r="N1406" s="1280">
        <v>0</v>
      </c>
      <c r="O1406" s="755">
        <f>K1406</f>
        <v>70000</v>
      </c>
      <c r="P1406" s="755">
        <f>O1406/D1406</f>
        <v>318.18181818181819</v>
      </c>
      <c r="Q1406" s="991" t="s">
        <v>1546</v>
      </c>
    </row>
    <row r="1407" spans="1:17" s="382" customFormat="1" ht="45">
      <c r="A1407" s="1568"/>
      <c r="B1407" s="1701"/>
      <c r="C1407" s="751" t="s">
        <v>1353</v>
      </c>
      <c r="D1407" s="754">
        <f>D1388</f>
        <v>157</v>
      </c>
      <c r="E1407" s="754">
        <f>D1407</f>
        <v>157</v>
      </c>
      <c r="F1407" s="762" t="s">
        <v>323</v>
      </c>
      <c r="G1407" s="329" t="s">
        <v>1370</v>
      </c>
      <c r="H1407" s="807" t="s">
        <v>1322</v>
      </c>
      <c r="I1407" s="776">
        <v>1</v>
      </c>
      <c r="J1407" s="776">
        <f>J1406</f>
        <v>70000</v>
      </c>
      <c r="K1407" s="776">
        <f t="shared" si="114"/>
        <v>70000</v>
      </c>
      <c r="L1407" s="334">
        <v>0</v>
      </c>
      <c r="M1407" s="411">
        <f t="shared" si="115"/>
        <v>70000</v>
      </c>
      <c r="N1407" s="1280">
        <v>0</v>
      </c>
      <c r="O1407" s="755">
        <f>K1407</f>
        <v>70000</v>
      </c>
      <c r="P1407" s="755">
        <f>O1407/D1407</f>
        <v>445.85987261146499</v>
      </c>
      <c r="Q1407" s="991" t="s">
        <v>1547</v>
      </c>
    </row>
    <row r="1408" spans="1:17" s="382" customFormat="1" ht="45">
      <c r="A1408" s="1568"/>
      <c r="B1408" s="1701"/>
      <c r="C1408" s="751" t="s">
        <v>1356</v>
      </c>
      <c r="D1408" s="754">
        <f>D1391</f>
        <v>105</v>
      </c>
      <c r="E1408" s="754">
        <f>D1408</f>
        <v>105</v>
      </c>
      <c r="F1408" s="762" t="s">
        <v>323</v>
      </c>
      <c r="G1408" s="329" t="s">
        <v>1371</v>
      </c>
      <c r="H1408" s="807" t="s">
        <v>1322</v>
      </c>
      <c r="I1408" s="776">
        <v>1</v>
      </c>
      <c r="J1408" s="776">
        <f>J1406</f>
        <v>70000</v>
      </c>
      <c r="K1408" s="776">
        <f t="shared" si="114"/>
        <v>70000</v>
      </c>
      <c r="L1408" s="334">
        <v>0</v>
      </c>
      <c r="M1408" s="411">
        <f t="shared" si="115"/>
        <v>70000</v>
      </c>
      <c r="N1408" s="1280">
        <v>0</v>
      </c>
      <c r="O1408" s="755">
        <f>K1408</f>
        <v>70000</v>
      </c>
      <c r="P1408" s="755">
        <f>O1408/D1408</f>
        <v>666.66666666666663</v>
      </c>
      <c r="Q1408" s="991" t="s">
        <v>1548</v>
      </c>
    </row>
    <row r="1409" spans="1:17" s="382" customFormat="1" ht="45">
      <c r="A1409" s="1568"/>
      <c r="B1409" s="1701"/>
      <c r="C1409" s="751" t="s">
        <v>1360</v>
      </c>
      <c r="D1409" s="754">
        <f>D1394</f>
        <v>135</v>
      </c>
      <c r="E1409" s="653">
        <f>D1409</f>
        <v>135</v>
      </c>
      <c r="F1409" s="762" t="s">
        <v>323</v>
      </c>
      <c r="G1409" s="329" t="s">
        <v>1372</v>
      </c>
      <c r="H1409" s="807" t="s">
        <v>1322</v>
      </c>
      <c r="I1409" s="776">
        <v>1</v>
      </c>
      <c r="J1409" s="776">
        <f>J1407</f>
        <v>70000</v>
      </c>
      <c r="K1409" s="776">
        <f t="shared" si="114"/>
        <v>70000</v>
      </c>
      <c r="L1409" s="334">
        <v>0</v>
      </c>
      <c r="M1409" s="411">
        <f t="shared" si="115"/>
        <v>70000</v>
      </c>
      <c r="N1409" s="1280">
        <v>0</v>
      </c>
      <c r="O1409" s="755">
        <f>K1409</f>
        <v>70000</v>
      </c>
      <c r="P1409" s="755">
        <f>O1409/D1409</f>
        <v>518.51851851851848</v>
      </c>
      <c r="Q1409" s="991" t="s">
        <v>1549</v>
      </c>
    </row>
    <row r="1410" spans="1:17" s="382" customFormat="1" ht="30">
      <c r="A1410" s="1568"/>
      <c r="B1410" s="1701"/>
      <c r="C1410" s="1567" t="s">
        <v>1363</v>
      </c>
      <c r="D1410" s="1514">
        <f>D1397</f>
        <v>390</v>
      </c>
      <c r="E1410" s="1513">
        <f>D1410</f>
        <v>390</v>
      </c>
      <c r="F1410" s="762" t="s">
        <v>323</v>
      </c>
      <c r="G1410" s="362" t="s">
        <v>1373</v>
      </c>
      <c r="H1410" s="807" t="s">
        <v>280</v>
      </c>
      <c r="I1410" s="776">
        <v>1</v>
      </c>
      <c r="J1410" s="776">
        <f>'preturi unitare'!O24</f>
        <v>82000</v>
      </c>
      <c r="K1410" s="776">
        <f t="shared" si="114"/>
        <v>82000</v>
      </c>
      <c r="L1410" s="334">
        <v>0</v>
      </c>
      <c r="M1410" s="411">
        <f t="shared" si="115"/>
        <v>82000</v>
      </c>
      <c r="N1410" s="1280">
        <v>0</v>
      </c>
      <c r="O1410" s="1515">
        <f>SUM(M1410:M1411)</f>
        <v>544000</v>
      </c>
      <c r="P1410" s="1515">
        <f>O1410/D1410</f>
        <v>1394.8717948717949</v>
      </c>
      <c r="Q1410" s="1546" t="s">
        <v>1550</v>
      </c>
    </row>
    <row r="1411" spans="1:17" s="382" customFormat="1" ht="30">
      <c r="A1411" s="1568"/>
      <c r="B1411" s="1701"/>
      <c r="C1411" s="1567"/>
      <c r="D1411" s="1514"/>
      <c r="E1411" s="1505"/>
      <c r="F1411" s="762" t="s">
        <v>325</v>
      </c>
      <c r="G1411" s="362" t="s">
        <v>1374</v>
      </c>
      <c r="H1411" s="807" t="s">
        <v>160</v>
      </c>
      <c r="I1411" s="776">
        <v>3000</v>
      </c>
      <c r="J1411" s="776">
        <f>J1405</f>
        <v>154</v>
      </c>
      <c r="K1411" s="776">
        <f t="shared" si="114"/>
        <v>462000</v>
      </c>
      <c r="L1411" s="334">
        <v>0</v>
      </c>
      <c r="M1411" s="411">
        <f t="shared" si="115"/>
        <v>462000</v>
      </c>
      <c r="N1411" s="1280">
        <v>0</v>
      </c>
      <c r="O1411" s="1515"/>
      <c r="P1411" s="1515"/>
      <c r="Q1411" s="1522"/>
    </row>
    <row r="1412" spans="1:17" s="382" customFormat="1">
      <c r="A1412" s="820"/>
      <c r="B1412" s="761"/>
      <c r="C1412" s="761"/>
      <c r="D1412" s="760"/>
      <c r="E1412" s="760"/>
      <c r="F1412" s="762"/>
      <c r="G1412" s="384"/>
      <c r="H1412" s="776"/>
      <c r="I1412" s="776"/>
      <c r="J1412" s="776"/>
      <c r="K1412" s="776"/>
      <c r="L1412" s="334"/>
      <c r="M1412" s="334"/>
      <c r="N1412" s="326"/>
      <c r="O1412" s="777"/>
      <c r="P1412" s="777"/>
      <c r="Q1412" s="644"/>
    </row>
    <row r="1413" spans="1:17" s="382" customFormat="1">
      <c r="A1413" s="1532" t="s">
        <v>1375</v>
      </c>
      <c r="B1413" s="1533"/>
      <c r="C1413" s="1533"/>
      <c r="D1413" s="1533"/>
      <c r="E1413" s="1533"/>
      <c r="F1413" s="1533"/>
      <c r="G1413" s="1534"/>
      <c r="H1413" s="364"/>
      <c r="I1413" s="364"/>
      <c r="J1413" s="364"/>
      <c r="K1413" s="364">
        <f>SUM(K1403:K1411)</f>
        <v>2073500</v>
      </c>
      <c r="L1413" s="365">
        <f>SUM(L1403:L1411)</f>
        <v>0</v>
      </c>
      <c r="M1413" s="365">
        <f>SUM(M1403:M1411)</f>
        <v>2073500</v>
      </c>
      <c r="N1413" s="364">
        <f>SUM(N1403:N1411)</f>
        <v>0</v>
      </c>
      <c r="O1413" s="776"/>
      <c r="P1413" s="776"/>
      <c r="Q1413" s="644"/>
    </row>
    <row r="1414" spans="1:17" s="382" customFormat="1">
      <c r="A1414" s="820"/>
      <c r="B1414" s="782"/>
      <c r="C1414" s="782"/>
      <c r="D1414" s="763"/>
      <c r="E1414" s="763"/>
      <c r="F1414" s="762"/>
      <c r="G1414" s="328"/>
      <c r="H1414" s="776"/>
      <c r="I1414" s="776"/>
      <c r="J1414" s="776"/>
      <c r="K1414" s="776"/>
      <c r="L1414" s="334"/>
      <c r="M1414" s="334"/>
      <c r="N1414" s="776"/>
      <c r="O1414" s="776"/>
      <c r="P1414" s="776"/>
      <c r="Q1414" s="644"/>
    </row>
    <row r="1415" spans="1:17" s="382" customFormat="1" ht="15" customHeight="1" thickBot="1">
      <c r="A1415" s="1474" t="s">
        <v>1376</v>
      </c>
      <c r="B1415" s="1475"/>
      <c r="C1415" s="1475"/>
      <c r="D1415" s="1475"/>
      <c r="E1415" s="1475"/>
      <c r="F1415" s="1475"/>
      <c r="G1415" s="1476"/>
      <c r="H1415" s="581"/>
      <c r="I1415" s="581"/>
      <c r="J1415" s="581"/>
      <c r="K1415" s="582">
        <f>K1399+K1413</f>
        <v>3780000</v>
      </c>
      <c r="L1415" s="583">
        <f>L1399+L1413</f>
        <v>1242500</v>
      </c>
      <c r="M1415" s="583">
        <f>M1399+M1413</f>
        <v>2537500</v>
      </c>
      <c r="N1415" s="582">
        <f>N1399+N1413</f>
        <v>0</v>
      </c>
      <c r="O1415" s="581"/>
      <c r="P1415" s="581"/>
      <c r="Q1415" s="816"/>
    </row>
    <row r="1416" spans="1:17" ht="15.75" thickBot="1">
      <c r="A1416" s="586"/>
      <c r="B1416" s="586"/>
      <c r="C1416" s="586"/>
      <c r="D1416" s="959"/>
      <c r="E1416" s="959"/>
      <c r="F1416" s="586"/>
      <c r="G1416" s="958"/>
      <c r="H1416" s="818"/>
      <c r="I1416" s="818"/>
      <c r="J1416" s="818"/>
      <c r="K1416" s="818"/>
      <c r="L1416" s="609"/>
      <c r="M1416" s="609"/>
      <c r="N1416" s="818"/>
      <c r="O1416" s="771"/>
      <c r="P1416" s="771"/>
      <c r="Q1416" s="586"/>
    </row>
    <row r="1417" spans="1:17" ht="15.75" thickBot="1">
      <c r="A1417" s="859"/>
      <c r="B1417" s="639"/>
      <c r="C1417" s="639"/>
      <c r="D1417" s="841"/>
      <c r="E1417" s="841"/>
      <c r="F1417" s="846"/>
      <c r="G1417" s="577" t="s">
        <v>1931</v>
      </c>
      <c r="H1417" s="872"/>
      <c r="I1417" s="873"/>
      <c r="J1417" s="641"/>
      <c r="K1417" s="639"/>
      <c r="L1417" s="640"/>
      <c r="M1417" s="640"/>
      <c r="N1417" s="639"/>
      <c r="O1417" s="841"/>
      <c r="P1417" s="841"/>
      <c r="Q1417" s="642"/>
    </row>
    <row r="1418" spans="1:17" ht="15.75" thickBot="1">
      <c r="A1418" s="833"/>
      <c r="B1418" s="355"/>
      <c r="C1418" s="355"/>
      <c r="D1418" s="898"/>
      <c r="E1418" s="898"/>
      <c r="F1418" s="356"/>
      <c r="G1418" s="576"/>
      <c r="H1418" s="358"/>
      <c r="I1418" s="358"/>
      <c r="J1418" s="358"/>
      <c r="K1418" s="358"/>
      <c r="L1418" s="359"/>
      <c r="M1418" s="359"/>
      <c r="N1418" s="358"/>
      <c r="O1418" s="770"/>
      <c r="P1418" s="770"/>
      <c r="Q1418" s="857"/>
    </row>
    <row r="1419" spans="1:17" ht="60" customHeight="1">
      <c r="A1419" s="1562" t="s">
        <v>1452</v>
      </c>
      <c r="B1419" s="1564" t="s">
        <v>676</v>
      </c>
      <c r="C1419" s="1564" t="s">
        <v>610</v>
      </c>
      <c r="D1419" s="1538" t="s">
        <v>611</v>
      </c>
      <c r="E1419" s="1538" t="s">
        <v>1453</v>
      </c>
      <c r="F1419" s="1472" t="s">
        <v>159</v>
      </c>
      <c r="G1419" s="1509" t="s">
        <v>110</v>
      </c>
      <c r="H1419" s="1477" t="s">
        <v>316</v>
      </c>
      <c r="I1419" s="1472" t="s">
        <v>315</v>
      </c>
      <c r="J1419" s="1472" t="s">
        <v>317</v>
      </c>
      <c r="K1419" s="1472" t="s">
        <v>318</v>
      </c>
      <c r="L1419" s="569" t="s">
        <v>1443</v>
      </c>
      <c r="M1419" s="569" t="s">
        <v>1444</v>
      </c>
      <c r="N1419" s="752" t="s">
        <v>1445</v>
      </c>
      <c r="O1419" s="1477" t="s">
        <v>1673</v>
      </c>
      <c r="P1419" s="1477" t="s">
        <v>1307</v>
      </c>
      <c r="Q1419" s="1495" t="s">
        <v>1454</v>
      </c>
    </row>
    <row r="1420" spans="1:17" ht="15.75" thickBot="1">
      <c r="A1420" s="1563"/>
      <c r="B1420" s="1565"/>
      <c r="C1420" s="1565"/>
      <c r="D1420" s="1539"/>
      <c r="E1420" s="1539"/>
      <c r="F1420" s="1473"/>
      <c r="G1420" s="1510"/>
      <c r="H1420" s="1478"/>
      <c r="I1420" s="1473"/>
      <c r="J1420" s="1473"/>
      <c r="K1420" s="1473"/>
      <c r="L1420" s="570" t="s">
        <v>805</v>
      </c>
      <c r="M1420" s="570" t="s">
        <v>805</v>
      </c>
      <c r="N1420" s="753" t="s">
        <v>1149</v>
      </c>
      <c r="O1420" s="1478"/>
      <c r="P1420" s="1478"/>
      <c r="Q1420" s="1496"/>
    </row>
    <row r="1421" spans="1:17" s="373" customFormat="1" ht="60">
      <c r="A1421" s="1825" t="s">
        <v>758</v>
      </c>
      <c r="B1421" s="1575" t="s">
        <v>1487</v>
      </c>
      <c r="C1421" s="1575" t="s">
        <v>2036</v>
      </c>
      <c r="D1421" s="1503">
        <f>1115+931+668</f>
        <v>2714</v>
      </c>
      <c r="E1421" s="1593" t="s">
        <v>1451</v>
      </c>
      <c r="F1421" s="1259" t="s">
        <v>140</v>
      </c>
      <c r="G1421" s="858" t="s">
        <v>2038</v>
      </c>
      <c r="H1421" s="1260" t="s">
        <v>280</v>
      </c>
      <c r="I1421" s="1255">
        <v>1</v>
      </c>
      <c r="J1421" s="1255">
        <f>'preturi unitare'!O4</f>
        <v>125000</v>
      </c>
      <c r="K1421" s="1255">
        <f>J1421</f>
        <v>125000</v>
      </c>
      <c r="L1421" s="1086">
        <f>K1421</f>
        <v>125000</v>
      </c>
      <c r="M1421" s="1086">
        <v>0</v>
      </c>
      <c r="N1421" s="1255">
        <v>0</v>
      </c>
      <c r="O1421" s="1804">
        <f>SUM(L1421:L1426)</f>
        <v>864000</v>
      </c>
      <c r="P1421" s="1804">
        <f>O1421/D1421</f>
        <v>318.34929992630805</v>
      </c>
      <c r="Q1421" s="1552" t="s">
        <v>2044</v>
      </c>
    </row>
    <row r="1422" spans="1:17" s="373" customFormat="1" ht="30">
      <c r="A1422" s="1486"/>
      <c r="B1422" s="1576"/>
      <c r="C1422" s="1576"/>
      <c r="D1422" s="1504"/>
      <c r="E1422" s="1594"/>
      <c r="F1422" s="1252" t="s">
        <v>2037</v>
      </c>
      <c r="G1422" s="1261" t="s">
        <v>2039</v>
      </c>
      <c r="H1422" s="1257" t="s">
        <v>160</v>
      </c>
      <c r="I1422" s="1256">
        <v>3000</v>
      </c>
      <c r="J1422" s="1256">
        <f>'preturi unitare'!H24</f>
        <v>79</v>
      </c>
      <c r="K1422" s="1256">
        <f>I1422*J1422</f>
        <v>237000</v>
      </c>
      <c r="L1422" s="401">
        <f t="shared" ref="L1422:L1430" si="116">K1422</f>
        <v>237000</v>
      </c>
      <c r="M1422" s="401">
        <v>0</v>
      </c>
      <c r="N1422" s="1256">
        <v>0</v>
      </c>
      <c r="O1422" s="1805"/>
      <c r="P1422" s="1807"/>
      <c r="Q1422" s="1553"/>
    </row>
    <row r="1423" spans="1:17" s="373" customFormat="1" ht="30">
      <c r="A1423" s="1486"/>
      <c r="B1423" s="1576"/>
      <c r="C1423" s="1576"/>
      <c r="D1423" s="1504"/>
      <c r="E1423" s="1594"/>
      <c r="F1423" s="1252" t="s">
        <v>322</v>
      </c>
      <c r="G1423" s="1261" t="s">
        <v>2040</v>
      </c>
      <c r="H1423" s="1257" t="s">
        <v>160</v>
      </c>
      <c r="I1423" s="1256">
        <v>5000</v>
      </c>
      <c r="J1423" s="1256">
        <f>'preturi unitare'!H22</f>
        <v>64</v>
      </c>
      <c r="K1423" s="1256">
        <f>I1423*J1423</f>
        <v>320000</v>
      </c>
      <c r="L1423" s="401">
        <f t="shared" si="116"/>
        <v>320000</v>
      </c>
      <c r="M1423" s="401">
        <v>0</v>
      </c>
      <c r="N1423" s="1256">
        <v>0</v>
      </c>
      <c r="O1423" s="1805"/>
      <c r="P1423" s="1807"/>
      <c r="Q1423" s="1553"/>
    </row>
    <row r="1424" spans="1:17" s="373" customFormat="1" ht="47.25">
      <c r="A1424" s="1486"/>
      <c r="B1424" s="1576"/>
      <c r="C1424" s="1576"/>
      <c r="D1424" s="1504"/>
      <c r="E1424" s="1594"/>
      <c r="F1424" s="1595" t="s">
        <v>279</v>
      </c>
      <c r="G1424" s="1261" t="s">
        <v>2041</v>
      </c>
      <c r="H1424" s="1257" t="s">
        <v>280</v>
      </c>
      <c r="I1424" s="1256">
        <v>1</v>
      </c>
      <c r="J1424" s="1256">
        <f>'preturi unitare'!E6+50000</f>
        <v>80000</v>
      </c>
      <c r="K1424" s="1256">
        <f>J1424*I1424</f>
        <v>80000</v>
      </c>
      <c r="L1424" s="401">
        <f t="shared" si="116"/>
        <v>80000</v>
      </c>
      <c r="M1424" s="401">
        <v>0</v>
      </c>
      <c r="N1424" s="1256">
        <v>0</v>
      </c>
      <c r="O1424" s="1805"/>
      <c r="P1424" s="1807"/>
      <c r="Q1424" s="1553"/>
    </row>
    <row r="1425" spans="1:19" s="373" customFormat="1" ht="32.25">
      <c r="A1425" s="1486"/>
      <c r="B1425" s="1576"/>
      <c r="C1425" s="1576"/>
      <c r="D1425" s="1504"/>
      <c r="E1425" s="1594"/>
      <c r="F1425" s="1595"/>
      <c r="G1425" s="1261" t="s">
        <v>2042</v>
      </c>
      <c r="H1425" s="1257" t="s">
        <v>280</v>
      </c>
      <c r="I1425" s="1256">
        <v>1</v>
      </c>
      <c r="J1425" s="1256">
        <v>50000</v>
      </c>
      <c r="K1425" s="1256">
        <f>J1425*I1425</f>
        <v>50000</v>
      </c>
      <c r="L1425" s="401">
        <f t="shared" si="116"/>
        <v>50000</v>
      </c>
      <c r="M1425" s="401">
        <v>0</v>
      </c>
      <c r="N1425" s="1256">
        <v>0</v>
      </c>
      <c r="O1425" s="1805"/>
      <c r="P1425" s="1807"/>
      <c r="Q1425" s="1553"/>
    </row>
    <row r="1426" spans="1:19" s="373" customFormat="1" ht="32.25">
      <c r="A1426" s="1486"/>
      <c r="B1426" s="1576"/>
      <c r="C1426" s="1576"/>
      <c r="D1426" s="1505"/>
      <c r="E1426" s="1594"/>
      <c r="F1426" s="1595"/>
      <c r="G1426" s="1261" t="s">
        <v>2043</v>
      </c>
      <c r="H1426" s="1257" t="s">
        <v>280</v>
      </c>
      <c r="I1426" s="1256">
        <v>1</v>
      </c>
      <c r="J1426" s="1256">
        <f>52000</f>
        <v>52000</v>
      </c>
      <c r="K1426" s="1256">
        <f>I1426*J1426</f>
        <v>52000</v>
      </c>
      <c r="L1426" s="401">
        <f t="shared" si="116"/>
        <v>52000</v>
      </c>
      <c r="M1426" s="401">
        <v>0</v>
      </c>
      <c r="N1426" s="1256">
        <v>0</v>
      </c>
      <c r="O1426" s="1806"/>
      <c r="P1426" s="1696"/>
      <c r="Q1426" s="1554"/>
    </row>
    <row r="1427" spans="1:19" ht="30">
      <c r="A1427" s="1486"/>
      <c r="B1427" s="1567" t="s">
        <v>1487</v>
      </c>
      <c r="C1427" s="1488" t="s">
        <v>759</v>
      </c>
      <c r="D1427" s="1577">
        <v>306</v>
      </c>
      <c r="E1427" s="1602" t="s">
        <v>1451</v>
      </c>
      <c r="F1427" s="1242" t="s">
        <v>140</v>
      </c>
      <c r="G1427" s="329" t="s">
        <v>1066</v>
      </c>
      <c r="H1427" s="1246" t="s">
        <v>280</v>
      </c>
      <c r="I1427" s="1238">
        <v>1</v>
      </c>
      <c r="J1427" s="1238">
        <f>'preturi unitare'!K4</f>
        <v>89000</v>
      </c>
      <c r="K1427" s="1238">
        <f>I1427*J1427</f>
        <v>89000</v>
      </c>
      <c r="L1427" s="334">
        <f t="shared" si="116"/>
        <v>89000</v>
      </c>
      <c r="M1427" s="334">
        <v>0</v>
      </c>
      <c r="N1427" s="385">
        <v>0</v>
      </c>
      <c r="O1427" s="1483">
        <f>SUM(L1427:L1430)</f>
        <v>302500</v>
      </c>
      <c r="P1427" s="1483">
        <f>O1427/D1427</f>
        <v>988.56209150326799</v>
      </c>
      <c r="Q1427" s="1581" t="s">
        <v>1670</v>
      </c>
    </row>
    <row r="1428" spans="1:19" ht="30">
      <c r="A1428" s="1486"/>
      <c r="B1428" s="1567"/>
      <c r="C1428" s="1488"/>
      <c r="D1428" s="1577"/>
      <c r="E1428" s="1577"/>
      <c r="F1428" s="1242" t="s">
        <v>320</v>
      </c>
      <c r="G1428" s="329" t="s">
        <v>1067</v>
      </c>
      <c r="H1428" s="807" t="s">
        <v>160</v>
      </c>
      <c r="I1428" s="1238">
        <v>500</v>
      </c>
      <c r="J1428" s="1238">
        <f>'preturi unitare'!H23</f>
        <v>68</v>
      </c>
      <c r="K1428" s="1238">
        <f>I1428*J1428</f>
        <v>34000</v>
      </c>
      <c r="L1428" s="334">
        <f t="shared" si="116"/>
        <v>34000</v>
      </c>
      <c r="M1428" s="334">
        <v>0</v>
      </c>
      <c r="N1428" s="385">
        <v>0</v>
      </c>
      <c r="O1428" s="1483"/>
      <c r="P1428" s="1483"/>
      <c r="Q1428" s="1636"/>
    </row>
    <row r="1429" spans="1:19" ht="30">
      <c r="A1429" s="1486"/>
      <c r="B1429" s="1567"/>
      <c r="C1429" s="1488"/>
      <c r="D1429" s="1577"/>
      <c r="E1429" s="1577"/>
      <c r="F1429" s="1242" t="s">
        <v>322</v>
      </c>
      <c r="G1429" s="362" t="s">
        <v>1068</v>
      </c>
      <c r="H1429" s="807" t="s">
        <v>160</v>
      </c>
      <c r="I1429" s="1238">
        <v>2000</v>
      </c>
      <c r="J1429" s="1238">
        <f>'preturi unitare'!H22</f>
        <v>64</v>
      </c>
      <c r="K1429" s="1238">
        <f>I1429*J1429</f>
        <v>128000</v>
      </c>
      <c r="L1429" s="334">
        <f t="shared" si="116"/>
        <v>128000</v>
      </c>
      <c r="M1429" s="334">
        <v>0</v>
      </c>
      <c r="N1429" s="385">
        <v>0</v>
      </c>
      <c r="O1429" s="1483"/>
      <c r="P1429" s="1483"/>
      <c r="Q1429" s="1636"/>
    </row>
    <row r="1430" spans="1:19" ht="54.75" customHeight="1">
      <c r="A1430" s="1486"/>
      <c r="B1430" s="1567"/>
      <c r="C1430" s="1488"/>
      <c r="D1430" s="1577"/>
      <c r="E1430" s="1577"/>
      <c r="F1430" s="1242" t="s">
        <v>279</v>
      </c>
      <c r="G1430" s="329" t="s">
        <v>1877</v>
      </c>
      <c r="H1430" s="1246" t="s">
        <v>280</v>
      </c>
      <c r="I1430" s="1238">
        <v>1</v>
      </c>
      <c r="J1430" s="1238">
        <f>'preturi unitare'!E23+'preturi unitare'!E6</f>
        <v>51500</v>
      </c>
      <c r="K1430" s="1238">
        <f>I1430*J1430</f>
        <v>51500</v>
      </c>
      <c r="L1430" s="334">
        <f t="shared" si="116"/>
        <v>51500</v>
      </c>
      <c r="M1430" s="334">
        <v>0</v>
      </c>
      <c r="N1430" s="385">
        <v>0</v>
      </c>
      <c r="O1430" s="1483"/>
      <c r="P1430" s="1483"/>
      <c r="Q1430" s="1637"/>
    </row>
    <row r="1431" spans="1:19">
      <c r="A1431" s="820"/>
      <c r="B1431" s="326"/>
      <c r="C1431" s="326"/>
      <c r="D1431" s="385"/>
      <c r="E1431" s="385"/>
      <c r="F1431" s="326"/>
      <c r="G1431" s="326"/>
      <c r="H1431" s="326"/>
      <c r="I1431" s="776"/>
      <c r="J1431" s="776"/>
      <c r="K1431" s="776"/>
      <c r="L1431" s="334"/>
      <c r="M1431" s="334"/>
      <c r="N1431" s="326"/>
      <c r="O1431" s="777"/>
      <c r="P1431" s="777"/>
      <c r="Q1431" s="587"/>
    </row>
    <row r="1432" spans="1:19">
      <c r="A1432" s="1529" t="s">
        <v>587</v>
      </c>
      <c r="B1432" s="1530"/>
      <c r="C1432" s="1530"/>
      <c r="D1432" s="1530"/>
      <c r="E1432" s="1530"/>
      <c r="F1432" s="1530"/>
      <c r="G1432" s="1531"/>
      <c r="H1432" s="793"/>
      <c r="I1432" s="776"/>
      <c r="J1432" s="776"/>
      <c r="K1432" s="364">
        <f>SUM(K1421:K1430)</f>
        <v>1166500</v>
      </c>
      <c r="L1432" s="365">
        <f>SUM(L1421:L1430)</f>
        <v>1166500</v>
      </c>
      <c r="M1432" s="365">
        <f>SUM(M1427:M1430)</f>
        <v>0</v>
      </c>
      <c r="N1432" s="364">
        <f>SUM(N1427:N1430)</f>
        <v>0</v>
      </c>
      <c r="O1432" s="776"/>
      <c r="P1432" s="776"/>
      <c r="Q1432" s="587"/>
      <c r="S1432" s="629"/>
    </row>
    <row r="1433" spans="1:19" ht="15.75" thickBot="1">
      <c r="A1433" s="820"/>
      <c r="B1433" s="782"/>
      <c r="C1433" s="782"/>
      <c r="D1433" s="763"/>
      <c r="E1433" s="763"/>
      <c r="F1433" s="762"/>
      <c r="G1433" s="328"/>
      <c r="H1433" s="776"/>
      <c r="I1433" s="776"/>
      <c r="J1433" s="776"/>
      <c r="K1433" s="776"/>
      <c r="L1433" s="365"/>
      <c r="M1433" s="365"/>
      <c r="N1433" s="794"/>
      <c r="O1433" s="777"/>
      <c r="P1433" s="777"/>
      <c r="Q1433" s="587"/>
    </row>
    <row r="1434" spans="1:19" s="382" customFormat="1" ht="60" customHeight="1">
      <c r="A1434" s="1542" t="s">
        <v>632</v>
      </c>
      <c r="B1434" s="1544" t="s">
        <v>617</v>
      </c>
      <c r="C1434" s="1538" t="s">
        <v>610</v>
      </c>
      <c r="D1434" s="1538" t="s">
        <v>611</v>
      </c>
      <c r="E1434" s="1538" t="s">
        <v>1453</v>
      </c>
      <c r="F1434" s="1472" t="s">
        <v>159</v>
      </c>
      <c r="G1434" s="1509" t="s">
        <v>110</v>
      </c>
      <c r="H1434" s="1477" t="s">
        <v>316</v>
      </c>
      <c r="I1434" s="1472" t="s">
        <v>315</v>
      </c>
      <c r="J1434" s="1472" t="s">
        <v>317</v>
      </c>
      <c r="K1434" s="1472" t="s">
        <v>318</v>
      </c>
      <c r="L1434" s="569" t="s">
        <v>1443</v>
      </c>
      <c r="M1434" s="569" t="s">
        <v>1444</v>
      </c>
      <c r="N1434" s="752" t="s">
        <v>1445</v>
      </c>
      <c r="O1434" s="1477" t="s">
        <v>1673</v>
      </c>
      <c r="P1434" s="1477" t="s">
        <v>1307</v>
      </c>
      <c r="Q1434" s="1495" t="s">
        <v>1454</v>
      </c>
    </row>
    <row r="1435" spans="1:19" s="382" customFormat="1" ht="21" customHeight="1" thickBot="1">
      <c r="A1435" s="1543"/>
      <c r="B1435" s="1545"/>
      <c r="C1435" s="1539"/>
      <c r="D1435" s="1539"/>
      <c r="E1435" s="1539"/>
      <c r="F1435" s="1473"/>
      <c r="G1435" s="1510"/>
      <c r="H1435" s="1478"/>
      <c r="I1435" s="1473"/>
      <c r="J1435" s="1473"/>
      <c r="K1435" s="1473"/>
      <c r="L1435" s="570" t="s">
        <v>805</v>
      </c>
      <c r="M1435" s="570" t="s">
        <v>805</v>
      </c>
      <c r="N1435" s="753" t="s">
        <v>1149</v>
      </c>
      <c r="O1435" s="1478"/>
      <c r="P1435" s="1478"/>
      <c r="Q1435" s="1496"/>
    </row>
    <row r="1436" spans="1:19" s="373" customFormat="1" ht="30" customHeight="1">
      <c r="A1436" s="1568" t="s">
        <v>758</v>
      </c>
      <c r="B1436" s="1567" t="s">
        <v>1451</v>
      </c>
      <c r="C1436" s="1566" t="s">
        <v>1753</v>
      </c>
      <c r="D1436" s="1516">
        <v>1115</v>
      </c>
      <c r="E1436" s="1516">
        <v>1115</v>
      </c>
      <c r="F1436" s="743" t="s">
        <v>323</v>
      </c>
      <c r="G1436" s="866" t="s">
        <v>1754</v>
      </c>
      <c r="H1436" s="1028" t="s">
        <v>280</v>
      </c>
      <c r="I1436" s="1118">
        <v>1</v>
      </c>
      <c r="J1436" s="1118">
        <v>180000</v>
      </c>
      <c r="K1436" s="1118">
        <f>J1436*I1436</f>
        <v>180000</v>
      </c>
      <c r="L1436" s="939">
        <v>0</v>
      </c>
      <c r="M1436" s="939">
        <f t="shared" ref="M1436:M1441" si="117">K1436</f>
        <v>180000</v>
      </c>
      <c r="N1436" s="1089">
        <v>0</v>
      </c>
      <c r="O1436" s="1591">
        <f>SUM(M1436:M1437)</f>
        <v>1181000</v>
      </c>
      <c r="P1436" s="1591">
        <f>O1436/E1436</f>
        <v>1059.1928251121076</v>
      </c>
      <c r="Q1436" s="1546" t="s">
        <v>1757</v>
      </c>
    </row>
    <row r="1437" spans="1:19" s="373" customFormat="1" ht="30">
      <c r="A1437" s="1568"/>
      <c r="B1437" s="1701"/>
      <c r="C1437" s="1567"/>
      <c r="D1437" s="1514"/>
      <c r="E1437" s="1514"/>
      <c r="F1437" s="1128" t="s">
        <v>325</v>
      </c>
      <c r="G1437" s="362" t="s">
        <v>1069</v>
      </c>
      <c r="H1437" s="807" t="s">
        <v>160</v>
      </c>
      <c r="I1437" s="1119">
        <v>6500</v>
      </c>
      <c r="J1437" s="1119">
        <f>'preturi unitare'!H40</f>
        <v>154</v>
      </c>
      <c r="K1437" s="807">
        <f>J1437*I1437</f>
        <v>1001000</v>
      </c>
      <c r="L1437" s="334">
        <v>0</v>
      </c>
      <c r="M1437" s="334">
        <f t="shared" si="117"/>
        <v>1001000</v>
      </c>
      <c r="N1437" s="1043">
        <v>0</v>
      </c>
      <c r="O1437" s="1515"/>
      <c r="P1437" s="1515"/>
      <c r="Q1437" s="1522"/>
    </row>
    <row r="1438" spans="1:19" s="373" customFormat="1" ht="30">
      <c r="A1438" s="1568"/>
      <c r="B1438" s="1701"/>
      <c r="C1438" s="1567" t="s">
        <v>1755</v>
      </c>
      <c r="D1438" s="1514">
        <v>931</v>
      </c>
      <c r="E1438" s="1514">
        <v>931</v>
      </c>
      <c r="F1438" s="1128" t="s">
        <v>323</v>
      </c>
      <c r="G1438" s="362" t="s">
        <v>1756</v>
      </c>
      <c r="H1438" s="807" t="s">
        <v>280</v>
      </c>
      <c r="I1438" s="1119">
        <v>1</v>
      </c>
      <c r="J1438" s="1119">
        <f>'preturi unitare'!O29</f>
        <v>165500</v>
      </c>
      <c r="K1438" s="1119">
        <f>J1438*I1438</f>
        <v>165500</v>
      </c>
      <c r="L1438" s="334">
        <v>0</v>
      </c>
      <c r="M1438" s="334">
        <f t="shared" si="117"/>
        <v>165500</v>
      </c>
      <c r="N1438" s="1043">
        <v>0</v>
      </c>
      <c r="O1438" s="1515">
        <f>SUM(M1438:M1439)</f>
        <v>719900</v>
      </c>
      <c r="P1438" s="1515">
        <f>O1438/E1438</f>
        <v>773.25456498388826</v>
      </c>
      <c r="Q1438" s="1546" t="s">
        <v>1758</v>
      </c>
    </row>
    <row r="1439" spans="1:19" s="373" customFormat="1" ht="30">
      <c r="A1439" s="1568"/>
      <c r="B1439" s="1701"/>
      <c r="C1439" s="1567"/>
      <c r="D1439" s="1514"/>
      <c r="E1439" s="1514"/>
      <c r="F1439" s="1128" t="s">
        <v>325</v>
      </c>
      <c r="G1439" s="362" t="s">
        <v>1070</v>
      </c>
      <c r="H1439" s="807" t="s">
        <v>160</v>
      </c>
      <c r="I1439" s="1119">
        <v>3600</v>
      </c>
      <c r="J1439" s="1119">
        <f>J1437</f>
        <v>154</v>
      </c>
      <c r="K1439" s="1119">
        <f>I1439*J1439</f>
        <v>554400</v>
      </c>
      <c r="L1439" s="334">
        <v>0</v>
      </c>
      <c r="M1439" s="334">
        <f t="shared" si="117"/>
        <v>554400</v>
      </c>
      <c r="N1439" s="1043">
        <v>0</v>
      </c>
      <c r="O1439" s="1515"/>
      <c r="P1439" s="1515"/>
      <c r="Q1439" s="1522"/>
    </row>
    <row r="1440" spans="1:19" s="373" customFormat="1" ht="30">
      <c r="A1440" s="1568"/>
      <c r="B1440" s="1701"/>
      <c r="C1440" s="1567" t="s">
        <v>760</v>
      </c>
      <c r="D1440" s="1514">
        <v>668</v>
      </c>
      <c r="E1440" s="1513">
        <f>D1440</f>
        <v>668</v>
      </c>
      <c r="F1440" s="1128" t="s">
        <v>323</v>
      </c>
      <c r="G1440" s="362" t="s">
        <v>1071</v>
      </c>
      <c r="H1440" s="807" t="s">
        <v>280</v>
      </c>
      <c r="I1440" s="1119">
        <v>1</v>
      </c>
      <c r="J1440" s="1119">
        <f>'preturi unitare'!O27</f>
        <v>106500</v>
      </c>
      <c r="K1440" s="1119">
        <f>J1440*I1440</f>
        <v>106500</v>
      </c>
      <c r="L1440" s="334">
        <v>0</v>
      </c>
      <c r="M1440" s="334">
        <f t="shared" si="117"/>
        <v>106500</v>
      </c>
      <c r="N1440" s="388">
        <v>0</v>
      </c>
      <c r="O1440" s="1515">
        <f>SUM(M1440:M1441)</f>
        <v>568500</v>
      </c>
      <c r="P1440" s="1515">
        <f>O1440/D1440</f>
        <v>851.04790419161679</v>
      </c>
      <c r="Q1440" s="1546" t="s">
        <v>1551</v>
      </c>
    </row>
    <row r="1441" spans="1:17" s="373" customFormat="1" ht="30">
      <c r="A1441" s="1568"/>
      <c r="B1441" s="1701"/>
      <c r="C1441" s="1567"/>
      <c r="D1441" s="1514"/>
      <c r="E1441" s="1505"/>
      <c r="F1441" s="1128" t="s">
        <v>325</v>
      </c>
      <c r="G1441" s="362" t="s">
        <v>1072</v>
      </c>
      <c r="H1441" s="807" t="s">
        <v>160</v>
      </c>
      <c r="I1441" s="1119">
        <v>3000</v>
      </c>
      <c r="J1441" s="1119">
        <f>J1437</f>
        <v>154</v>
      </c>
      <c r="K1441" s="1119">
        <f>J1441*I1441</f>
        <v>462000</v>
      </c>
      <c r="L1441" s="410">
        <v>0</v>
      </c>
      <c r="M1441" s="410">
        <f t="shared" si="117"/>
        <v>462000</v>
      </c>
      <c r="N1441" s="776">
        <v>0</v>
      </c>
      <c r="O1441" s="1515"/>
      <c r="P1441" s="1515"/>
      <c r="Q1441" s="1522"/>
    </row>
    <row r="1442" spans="1:17" s="373" customFormat="1" ht="45">
      <c r="A1442" s="1568"/>
      <c r="B1442" s="1701"/>
      <c r="C1442" s="751" t="s">
        <v>759</v>
      </c>
      <c r="D1442" s="754">
        <v>306</v>
      </c>
      <c r="E1442" s="754">
        <f>D1442</f>
        <v>306</v>
      </c>
      <c r="F1442" s="1128" t="s">
        <v>323</v>
      </c>
      <c r="G1442" s="329" t="s">
        <v>1759</v>
      </c>
      <c r="H1442" s="807" t="s">
        <v>1322</v>
      </c>
      <c r="I1442" s="1119">
        <v>1</v>
      </c>
      <c r="J1442" s="1119">
        <f>'preturi unitare'!N4</f>
        <v>70000</v>
      </c>
      <c r="K1442" s="1119">
        <f>J1442*I1442</f>
        <v>70000</v>
      </c>
      <c r="L1442" s="334">
        <v>0</v>
      </c>
      <c r="M1442" s="334">
        <f>K1442</f>
        <v>70000</v>
      </c>
      <c r="N1442" s="388">
        <v>0</v>
      </c>
      <c r="O1442" s="755">
        <f>K1442</f>
        <v>70000</v>
      </c>
      <c r="P1442" s="755">
        <f>O1442/D1442</f>
        <v>228.75816993464053</v>
      </c>
      <c r="Q1442" s="992" t="s">
        <v>1552</v>
      </c>
    </row>
    <row r="1443" spans="1:17" s="378" customFormat="1">
      <c r="A1443" s="820"/>
      <c r="B1443" s="761"/>
      <c r="C1443" s="761"/>
      <c r="D1443" s="760"/>
      <c r="E1443" s="760"/>
      <c r="F1443" s="762"/>
      <c r="G1443" s="384"/>
      <c r="H1443" s="776"/>
      <c r="I1443" s="776"/>
      <c r="J1443" s="776"/>
      <c r="K1443" s="776"/>
      <c r="L1443" s="334"/>
      <c r="M1443" s="334"/>
      <c r="N1443" s="326"/>
      <c r="O1443" s="777"/>
      <c r="P1443" s="777"/>
      <c r="Q1443" s="988"/>
    </row>
    <row r="1444" spans="1:17">
      <c r="A1444" s="1523" t="s">
        <v>440</v>
      </c>
      <c r="B1444" s="1524"/>
      <c r="C1444" s="1524"/>
      <c r="D1444" s="1524"/>
      <c r="E1444" s="1524"/>
      <c r="F1444" s="1524"/>
      <c r="G1444" s="1525"/>
      <c r="H1444" s="408"/>
      <c r="I1444" s="408"/>
      <c r="J1444" s="408"/>
      <c r="K1444" s="408">
        <f>SUM(K1436:K1442)</f>
        <v>2539400</v>
      </c>
      <c r="L1444" s="365">
        <f>SUM(L1436:L1442)</f>
        <v>0</v>
      </c>
      <c r="M1444" s="365">
        <f>SUM(M1436:M1442)</f>
        <v>2539400</v>
      </c>
      <c r="N1444" s="408">
        <f>SUM(N1436:N1442)</f>
        <v>0</v>
      </c>
      <c r="O1444" s="389"/>
      <c r="P1444" s="389"/>
      <c r="Q1444" s="587"/>
    </row>
    <row r="1445" spans="1:17">
      <c r="A1445" s="820"/>
      <c r="B1445" s="782"/>
      <c r="C1445" s="782"/>
      <c r="D1445" s="763"/>
      <c r="E1445" s="763"/>
      <c r="F1445" s="762"/>
      <c r="G1445" s="328"/>
      <c r="H1445" s="776"/>
      <c r="I1445" s="776"/>
      <c r="J1445" s="776"/>
      <c r="K1445" s="776"/>
      <c r="L1445" s="334"/>
      <c r="M1445" s="334"/>
      <c r="N1445" s="776"/>
      <c r="O1445" s="777"/>
      <c r="P1445" s="777"/>
      <c r="Q1445" s="587"/>
    </row>
    <row r="1446" spans="1:17" ht="15" customHeight="1" thickBot="1">
      <c r="A1446" s="1474" t="s">
        <v>441</v>
      </c>
      <c r="B1446" s="1475"/>
      <c r="C1446" s="1475"/>
      <c r="D1446" s="1475"/>
      <c r="E1446" s="1475"/>
      <c r="F1446" s="1475"/>
      <c r="G1446" s="1476"/>
      <c r="H1446" s="581"/>
      <c r="I1446" s="581"/>
      <c r="J1446" s="581"/>
      <c r="K1446" s="582">
        <f>K1432+K1444</f>
        <v>3705900</v>
      </c>
      <c r="L1446" s="583">
        <f>L1432+L1444</f>
        <v>1166500</v>
      </c>
      <c r="M1446" s="583">
        <f>M1432+M1444</f>
        <v>2539400</v>
      </c>
      <c r="N1446" s="582">
        <f>N1432+N1444</f>
        <v>0</v>
      </c>
      <c r="O1446" s="581"/>
      <c r="P1446" s="581"/>
      <c r="Q1446" s="816"/>
    </row>
    <row r="1447" spans="1:17" s="382" customFormat="1" ht="15" customHeight="1" thickBot="1">
      <c r="A1447" s="1090"/>
      <c r="B1447" s="1090"/>
      <c r="C1447" s="1090"/>
      <c r="D1447" s="1090"/>
      <c r="E1447" s="1090"/>
      <c r="F1447" s="1090"/>
      <c r="G1447" s="1091"/>
      <c r="H1447" s="1055"/>
      <c r="I1447" s="1055"/>
      <c r="J1447" s="1055"/>
      <c r="K1447" s="626"/>
      <c r="L1447" s="592"/>
      <c r="M1447" s="592"/>
      <c r="N1447" s="626"/>
      <c r="O1447" s="1055"/>
      <c r="P1447" s="1055"/>
      <c r="Q1447" s="1092"/>
    </row>
    <row r="1448" spans="1:17" s="382" customFormat="1" ht="15" customHeight="1" thickBot="1">
      <c r="A1448" s="859"/>
      <c r="B1448" s="639"/>
      <c r="C1448" s="639"/>
      <c r="D1448" s="841"/>
      <c r="E1448" s="841"/>
      <c r="F1448" s="846"/>
      <c r="G1448" s="577" t="s">
        <v>1932</v>
      </c>
      <c r="H1448" s="1051"/>
      <c r="I1448" s="1052"/>
      <c r="J1448" s="641"/>
      <c r="K1448" s="639"/>
      <c r="L1448" s="640"/>
      <c r="M1448" s="640"/>
      <c r="N1448" s="639"/>
      <c r="O1448" s="841"/>
      <c r="P1448" s="841"/>
      <c r="Q1448" s="642"/>
    </row>
    <row r="1449" spans="1:17" s="382" customFormat="1" ht="15" customHeight="1" thickBot="1">
      <c r="A1449" s="833"/>
      <c r="B1449" s="355"/>
      <c r="C1449" s="355"/>
      <c r="D1449" s="898"/>
      <c r="E1449" s="898"/>
      <c r="F1449" s="356"/>
      <c r="G1449" s="576"/>
      <c r="H1449" s="358"/>
      <c r="I1449" s="358"/>
      <c r="J1449" s="358"/>
      <c r="K1449" s="358"/>
      <c r="L1449" s="359"/>
      <c r="M1449" s="359"/>
      <c r="N1449" s="358"/>
      <c r="O1449" s="1050"/>
      <c r="P1449" s="1050"/>
      <c r="Q1449" s="857"/>
    </row>
    <row r="1450" spans="1:17" s="382" customFormat="1" ht="48" customHeight="1">
      <c r="A1450" s="1562" t="s">
        <v>1452</v>
      </c>
      <c r="B1450" s="1564" t="s">
        <v>676</v>
      </c>
      <c r="C1450" s="1564" t="s">
        <v>610</v>
      </c>
      <c r="D1450" s="1538" t="s">
        <v>611</v>
      </c>
      <c r="E1450" s="1538" t="s">
        <v>1453</v>
      </c>
      <c r="F1450" s="1472" t="s">
        <v>159</v>
      </c>
      <c r="G1450" s="1509" t="s">
        <v>110</v>
      </c>
      <c r="H1450" s="1477" t="s">
        <v>316</v>
      </c>
      <c r="I1450" s="1472" t="s">
        <v>315</v>
      </c>
      <c r="J1450" s="1472" t="s">
        <v>317</v>
      </c>
      <c r="K1450" s="1472" t="s">
        <v>318</v>
      </c>
      <c r="L1450" s="569" t="s">
        <v>1443</v>
      </c>
      <c r="M1450" s="569" t="s">
        <v>1444</v>
      </c>
      <c r="N1450" s="1038" t="s">
        <v>1445</v>
      </c>
      <c r="O1450" s="1477" t="s">
        <v>1673</v>
      </c>
      <c r="P1450" s="1477" t="s">
        <v>1307</v>
      </c>
      <c r="Q1450" s="1495" t="s">
        <v>1454</v>
      </c>
    </row>
    <row r="1451" spans="1:17" s="382" customFormat="1" ht="26.25" customHeight="1" thickBot="1">
      <c r="A1451" s="1563"/>
      <c r="B1451" s="1565"/>
      <c r="C1451" s="1565"/>
      <c r="D1451" s="1539"/>
      <c r="E1451" s="1539"/>
      <c r="F1451" s="1473"/>
      <c r="G1451" s="1510"/>
      <c r="H1451" s="1478"/>
      <c r="I1451" s="1473"/>
      <c r="J1451" s="1473"/>
      <c r="K1451" s="1473"/>
      <c r="L1451" s="570" t="s">
        <v>805</v>
      </c>
      <c r="M1451" s="570" t="s">
        <v>805</v>
      </c>
      <c r="N1451" s="1039" t="s">
        <v>1149</v>
      </c>
      <c r="O1451" s="1478"/>
      <c r="P1451" s="1478"/>
      <c r="Q1451" s="1496"/>
    </row>
    <row r="1452" spans="1:17" s="382" customFormat="1" ht="30">
      <c r="A1452" s="1802" t="s">
        <v>1760</v>
      </c>
      <c r="B1452" s="1827" t="s">
        <v>612</v>
      </c>
      <c r="C1452" s="1096" t="s">
        <v>625</v>
      </c>
      <c r="D1452" s="1096">
        <v>972</v>
      </c>
      <c r="E1452" s="1096" t="s">
        <v>1451</v>
      </c>
      <c r="F1452" s="743" t="s">
        <v>322</v>
      </c>
      <c r="G1452" s="1097" t="s">
        <v>1761</v>
      </c>
      <c r="H1452" s="1028" t="s">
        <v>160</v>
      </c>
      <c r="I1452" s="1053">
        <v>350</v>
      </c>
      <c r="J1452" s="1053">
        <f>'preturi unitare'!H22</f>
        <v>64</v>
      </c>
      <c r="K1452" s="1053">
        <f>I1452*J1452</f>
        <v>22400</v>
      </c>
      <c r="L1452" s="939">
        <f>K1452</f>
        <v>22400</v>
      </c>
      <c r="M1452" s="939">
        <v>0</v>
      </c>
      <c r="N1452" s="1053">
        <v>0</v>
      </c>
      <c r="O1452" s="1053">
        <f>L1452</f>
        <v>22400</v>
      </c>
      <c r="P1452" s="1053">
        <f>O1452/I1452</f>
        <v>64</v>
      </c>
      <c r="Q1452" s="1547" t="s">
        <v>1768</v>
      </c>
    </row>
    <row r="1453" spans="1:17" s="382" customFormat="1" ht="51" customHeight="1">
      <c r="A1453" s="1803"/>
      <c r="B1453" s="1828"/>
      <c r="C1453" s="1099" t="s">
        <v>626</v>
      </c>
      <c r="D1453" s="625">
        <v>1007</v>
      </c>
      <c r="E1453" s="1099" t="s">
        <v>1451</v>
      </c>
      <c r="F1453" s="1035" t="s">
        <v>322</v>
      </c>
      <c r="G1453" s="1100" t="s">
        <v>1762</v>
      </c>
      <c r="H1453" s="807" t="s">
        <v>160</v>
      </c>
      <c r="I1453" s="1043">
        <v>1600</v>
      </c>
      <c r="J1453" s="1043">
        <f>'preturi unitare'!H22</f>
        <v>64</v>
      </c>
      <c r="K1453" s="1043">
        <f>I1453*J1453</f>
        <v>102400</v>
      </c>
      <c r="L1453" s="334">
        <f>K1453</f>
        <v>102400</v>
      </c>
      <c r="M1453" s="334">
        <v>0</v>
      </c>
      <c r="N1453" s="1043">
        <v>0</v>
      </c>
      <c r="O1453" s="1043">
        <f>L1453</f>
        <v>102400</v>
      </c>
      <c r="P1453" s="1043">
        <f>O1453/D1453</f>
        <v>101.68818272095332</v>
      </c>
      <c r="Q1453" s="1548"/>
    </row>
    <row r="1454" spans="1:17" s="382" customFormat="1" ht="15" customHeight="1">
      <c r="A1454" s="1101"/>
      <c r="B1454" s="1102"/>
      <c r="C1454" s="1102"/>
      <c r="D1454" s="1102"/>
      <c r="E1454" s="1102"/>
      <c r="F1454" s="1102"/>
      <c r="G1454" s="1102"/>
      <c r="H1454" s="1043"/>
      <c r="I1454" s="1043"/>
      <c r="J1454" s="1043"/>
      <c r="K1454" s="1043"/>
      <c r="L1454" s="334"/>
      <c r="M1454" s="334"/>
      <c r="N1454" s="1043"/>
      <c r="O1454" s="1043"/>
      <c r="P1454" s="1043"/>
      <c r="Q1454" s="644"/>
    </row>
    <row r="1455" spans="1:17" s="382" customFormat="1" ht="15" customHeight="1">
      <c r="A1455" s="1529" t="s">
        <v>331</v>
      </c>
      <c r="B1455" s="1530"/>
      <c r="C1455" s="1530"/>
      <c r="D1455" s="1530"/>
      <c r="E1455" s="1530"/>
      <c r="F1455" s="1530"/>
      <c r="G1455" s="1531"/>
      <c r="H1455" s="793"/>
      <c r="I1455" s="1043"/>
      <c r="J1455" s="1043"/>
      <c r="K1455" s="364">
        <f>SUM(K1452:K1453)</f>
        <v>124800</v>
      </c>
      <c r="L1455" s="365">
        <f>SUM(L1452:L1453)</f>
        <v>124800</v>
      </c>
      <c r="M1455" s="365">
        <f>SUM(M1450:M1453)</f>
        <v>0</v>
      </c>
      <c r="N1455" s="364">
        <f>SUM(N1450:N1453)</f>
        <v>0</v>
      </c>
      <c r="O1455" s="1043"/>
      <c r="P1455" s="1043"/>
      <c r="Q1455" s="587"/>
    </row>
    <row r="1456" spans="1:17" s="382" customFormat="1" ht="15" customHeight="1" thickBot="1">
      <c r="A1456" s="1103"/>
      <c r="B1456" s="1104"/>
      <c r="C1456" s="1104"/>
      <c r="D1456" s="1104"/>
      <c r="E1456" s="1104"/>
      <c r="F1456" s="1104"/>
      <c r="G1456" s="1104"/>
      <c r="H1456" s="581"/>
      <c r="I1456" s="581"/>
      <c r="J1456" s="581"/>
      <c r="K1456" s="581"/>
      <c r="L1456" s="951"/>
      <c r="M1456" s="951"/>
      <c r="N1456" s="581"/>
      <c r="O1456" s="581"/>
      <c r="P1456" s="581"/>
      <c r="Q1456" s="816"/>
    </row>
    <row r="1457" spans="1:17" s="382" customFormat="1" ht="62.25" customHeight="1">
      <c r="A1457" s="1542" t="s">
        <v>632</v>
      </c>
      <c r="B1457" s="1544" t="s">
        <v>617</v>
      </c>
      <c r="C1457" s="1538" t="s">
        <v>610</v>
      </c>
      <c r="D1457" s="1538" t="s">
        <v>611</v>
      </c>
      <c r="E1457" s="1538" t="s">
        <v>1453</v>
      </c>
      <c r="F1457" s="1472" t="s">
        <v>159</v>
      </c>
      <c r="G1457" s="1509" t="s">
        <v>110</v>
      </c>
      <c r="H1457" s="1477" t="s">
        <v>316</v>
      </c>
      <c r="I1457" s="1472" t="s">
        <v>315</v>
      </c>
      <c r="J1457" s="1472" t="s">
        <v>317</v>
      </c>
      <c r="K1457" s="1472" t="s">
        <v>318</v>
      </c>
      <c r="L1457" s="569" t="s">
        <v>1443</v>
      </c>
      <c r="M1457" s="569" t="s">
        <v>1444</v>
      </c>
      <c r="N1457" s="1038" t="s">
        <v>1445</v>
      </c>
      <c r="O1457" s="1477" t="s">
        <v>1673</v>
      </c>
      <c r="P1457" s="1477" t="s">
        <v>1307</v>
      </c>
      <c r="Q1457" s="1495" t="s">
        <v>1454</v>
      </c>
    </row>
    <row r="1458" spans="1:17" s="382" customFormat="1" ht="19.5" customHeight="1" thickBot="1">
      <c r="A1458" s="1543"/>
      <c r="B1458" s="1545"/>
      <c r="C1458" s="1539"/>
      <c r="D1458" s="1539"/>
      <c r="E1458" s="1539"/>
      <c r="F1458" s="1473"/>
      <c r="G1458" s="1510"/>
      <c r="H1458" s="1478"/>
      <c r="I1458" s="1473"/>
      <c r="J1458" s="1473"/>
      <c r="K1458" s="1473"/>
      <c r="L1458" s="570" t="s">
        <v>805</v>
      </c>
      <c r="M1458" s="570" t="s">
        <v>805</v>
      </c>
      <c r="N1458" s="1039" t="s">
        <v>1149</v>
      </c>
      <c r="O1458" s="1478"/>
      <c r="P1458" s="1478"/>
      <c r="Q1458" s="1496"/>
    </row>
    <row r="1459" spans="1:17" s="382" customFormat="1" ht="30">
      <c r="A1459" s="1560" t="s">
        <v>1760</v>
      </c>
      <c r="B1459" s="1540" t="s">
        <v>1760</v>
      </c>
      <c r="C1459" s="1029" t="s">
        <v>1760</v>
      </c>
      <c r="D1459" s="1088">
        <v>2889</v>
      </c>
      <c r="E1459" s="1088">
        <f>1.1*D1459</f>
        <v>3177.9</v>
      </c>
      <c r="F1459" s="1106" t="s">
        <v>325</v>
      </c>
      <c r="G1459" s="1080" t="s">
        <v>1763</v>
      </c>
      <c r="H1459" s="1028" t="s">
        <v>160</v>
      </c>
      <c r="I1459" s="1053">
        <v>2300</v>
      </c>
      <c r="J1459" s="1053">
        <f>'preturi unitare'!H40</f>
        <v>154</v>
      </c>
      <c r="K1459" s="1053">
        <f>I1459*J1459</f>
        <v>354200</v>
      </c>
      <c r="L1459" s="939">
        <f>K1459</f>
        <v>354200</v>
      </c>
      <c r="M1459" s="939">
        <v>0</v>
      </c>
      <c r="N1459" s="1053">
        <v>0</v>
      </c>
      <c r="O1459" s="1555">
        <f>SUM(M1459:M1461)</f>
        <v>231000</v>
      </c>
      <c r="P1459" s="1555">
        <f>O1459/(E1459+E1460+E1461)</f>
        <v>44.794353196687936</v>
      </c>
      <c r="Q1459" s="1549" t="s">
        <v>1769</v>
      </c>
    </row>
    <row r="1460" spans="1:17" s="382" customFormat="1" ht="30">
      <c r="A1460" s="1561"/>
      <c r="B1460" s="1541"/>
      <c r="C1460" s="1030" t="s">
        <v>625</v>
      </c>
      <c r="D1460" s="1046">
        <v>972</v>
      </c>
      <c r="E1460" s="1046">
        <f>D1460</f>
        <v>972</v>
      </c>
      <c r="F1460" s="1107" t="s">
        <v>325</v>
      </c>
      <c r="G1460" s="329" t="s">
        <v>1764</v>
      </c>
      <c r="H1460" s="807" t="s">
        <v>160</v>
      </c>
      <c r="I1460" s="1043">
        <v>1500</v>
      </c>
      <c r="J1460" s="1043">
        <f>'preturi unitare'!H40</f>
        <v>154</v>
      </c>
      <c r="K1460" s="1043">
        <f t="shared" ref="K1460:K1461" si="118">I1460*J1460</f>
        <v>231000</v>
      </c>
      <c r="L1460" s="334">
        <f>I1460*J1460</f>
        <v>231000</v>
      </c>
      <c r="M1460" s="334">
        <v>0</v>
      </c>
      <c r="N1460" s="1043">
        <v>0</v>
      </c>
      <c r="O1460" s="1482"/>
      <c r="P1460" s="1482"/>
      <c r="Q1460" s="1550"/>
    </row>
    <row r="1461" spans="1:17" s="382" customFormat="1" ht="30">
      <c r="A1461" s="1561"/>
      <c r="B1461" s="1541"/>
      <c r="C1461" s="1030" t="s">
        <v>626</v>
      </c>
      <c r="D1461" s="1046">
        <v>1007</v>
      </c>
      <c r="E1461" s="1046">
        <f>D1461</f>
        <v>1007</v>
      </c>
      <c r="F1461" s="1107" t="s">
        <v>325</v>
      </c>
      <c r="G1461" s="329" t="s">
        <v>1765</v>
      </c>
      <c r="H1461" s="807" t="s">
        <v>160</v>
      </c>
      <c r="I1461" s="1043">
        <v>1500</v>
      </c>
      <c r="J1461" s="1043">
        <f>'preturi unitare'!H40</f>
        <v>154</v>
      </c>
      <c r="K1461" s="1043">
        <f t="shared" si="118"/>
        <v>231000</v>
      </c>
      <c r="L1461" s="334">
        <v>0</v>
      </c>
      <c r="M1461" s="334">
        <f>K1461</f>
        <v>231000</v>
      </c>
      <c r="N1461" s="1043">
        <v>0</v>
      </c>
      <c r="O1461" s="1482"/>
      <c r="P1461" s="1482"/>
      <c r="Q1461" s="1550"/>
    </row>
    <row r="1462" spans="1:17" s="382" customFormat="1" ht="15" customHeight="1">
      <c r="A1462" s="1108"/>
      <c r="B1462" s="625"/>
      <c r="C1462" s="625"/>
      <c r="D1462" s="625"/>
      <c r="E1462" s="625"/>
      <c r="F1462" s="1102"/>
      <c r="G1462" s="1102"/>
      <c r="H1462" s="1043"/>
      <c r="I1462" s="1043"/>
      <c r="J1462" s="1043"/>
      <c r="K1462" s="1043"/>
      <c r="L1462" s="334"/>
      <c r="M1462" s="334"/>
      <c r="N1462" s="1043"/>
      <c r="O1462" s="1043"/>
      <c r="P1462" s="1043"/>
      <c r="Q1462" s="644"/>
    </row>
    <row r="1463" spans="1:17" s="382" customFormat="1" ht="15" customHeight="1">
      <c r="A1463" s="1523" t="s">
        <v>1766</v>
      </c>
      <c r="B1463" s="1524"/>
      <c r="C1463" s="1524"/>
      <c r="D1463" s="1524"/>
      <c r="E1463" s="1524"/>
      <c r="F1463" s="1524"/>
      <c r="G1463" s="1525"/>
      <c r="H1463" s="408"/>
      <c r="I1463" s="408"/>
      <c r="J1463" s="408"/>
      <c r="K1463" s="408">
        <f>SUM(K1459:K1461)</f>
        <v>816200</v>
      </c>
      <c r="L1463" s="365">
        <f>SUM(L1459:L1461)</f>
        <v>585200</v>
      </c>
      <c r="M1463" s="365">
        <f>SUM(M1459:M1461)</f>
        <v>231000</v>
      </c>
      <c r="N1463" s="408">
        <f>SUM(N1455:N1461)</f>
        <v>0</v>
      </c>
      <c r="O1463" s="389"/>
      <c r="P1463" s="389"/>
      <c r="Q1463" s="587"/>
    </row>
    <row r="1464" spans="1:17" s="382" customFormat="1" ht="15" customHeight="1">
      <c r="A1464" s="820"/>
      <c r="B1464" s="1040"/>
      <c r="C1464" s="1040"/>
      <c r="D1464" s="1037"/>
      <c r="E1464" s="1037"/>
      <c r="F1464" s="1035"/>
      <c r="G1464" s="328"/>
      <c r="H1464" s="1043"/>
      <c r="I1464" s="1043"/>
      <c r="J1464" s="1043"/>
      <c r="K1464" s="1043"/>
      <c r="L1464" s="334"/>
      <c r="M1464" s="334"/>
      <c r="N1464" s="1043"/>
      <c r="O1464" s="1044"/>
      <c r="P1464" s="1044"/>
      <c r="Q1464" s="587"/>
    </row>
    <row r="1465" spans="1:17" s="382" customFormat="1" ht="15" customHeight="1" thickBot="1">
      <c r="A1465" s="1474" t="s">
        <v>1767</v>
      </c>
      <c r="B1465" s="1475"/>
      <c r="C1465" s="1475"/>
      <c r="D1465" s="1475"/>
      <c r="E1465" s="1475"/>
      <c r="F1465" s="1475"/>
      <c r="G1465" s="1476"/>
      <c r="H1465" s="581"/>
      <c r="I1465" s="581"/>
      <c r="J1465" s="581"/>
      <c r="K1465" s="582">
        <f>K1463+K1455</f>
        <v>941000</v>
      </c>
      <c r="L1465" s="583">
        <f>L1463+L1455</f>
        <v>710000</v>
      </c>
      <c r="M1465" s="583">
        <f>M1463+M1455</f>
        <v>231000</v>
      </c>
      <c r="N1465" s="582">
        <f>N1463+N1455</f>
        <v>0</v>
      </c>
      <c r="O1465" s="581"/>
      <c r="P1465" s="581"/>
      <c r="Q1465" s="816"/>
    </row>
    <row r="1466" spans="1:17" s="382" customFormat="1" ht="15" customHeight="1" thickBot="1">
      <c r="A1466" s="1094"/>
      <c r="B1466" s="1094"/>
      <c r="C1466" s="1094"/>
      <c r="D1466" s="1094"/>
      <c r="E1466" s="1094"/>
      <c r="F1466" s="1094"/>
      <c r="G1466" s="1095"/>
      <c r="H1466" s="1055"/>
      <c r="I1466" s="1055"/>
      <c r="J1466" s="1055"/>
      <c r="K1466" s="1055"/>
      <c r="L1466" s="1093"/>
      <c r="M1466" s="1093"/>
      <c r="N1466" s="1055"/>
      <c r="O1466" s="1055"/>
      <c r="P1466" s="1055"/>
      <c r="Q1466" s="1092"/>
    </row>
    <row r="1467" spans="1:17" s="382" customFormat="1" ht="15" customHeight="1" thickBot="1">
      <c r="A1467" s="859"/>
      <c r="B1467" s="639"/>
      <c r="C1467" s="639"/>
      <c r="D1467" s="841"/>
      <c r="E1467" s="841"/>
      <c r="F1467" s="846"/>
      <c r="G1467" s="577" t="s">
        <v>1933</v>
      </c>
      <c r="H1467" s="1051"/>
      <c r="I1467" s="1052"/>
      <c r="J1467" s="641"/>
      <c r="K1467" s="639"/>
      <c r="L1467" s="640"/>
      <c r="M1467" s="640"/>
      <c r="N1467" s="639"/>
      <c r="O1467" s="841"/>
      <c r="P1467" s="841"/>
      <c r="Q1467" s="642"/>
    </row>
    <row r="1468" spans="1:17" s="382" customFormat="1" ht="15" customHeight="1" thickBot="1">
      <c r="A1468" s="833"/>
      <c r="B1468" s="355"/>
      <c r="C1468" s="355"/>
      <c r="D1468" s="898"/>
      <c r="E1468" s="898"/>
      <c r="F1468" s="356"/>
      <c r="G1468" s="576"/>
      <c r="H1468" s="358"/>
      <c r="I1468" s="358"/>
      <c r="J1468" s="358"/>
      <c r="K1468" s="358"/>
      <c r="L1468" s="359"/>
      <c r="M1468" s="359"/>
      <c r="N1468" s="358"/>
      <c r="O1468" s="1050"/>
      <c r="P1468" s="1050"/>
      <c r="Q1468" s="857"/>
    </row>
    <row r="1469" spans="1:17" s="382" customFormat="1" ht="68.25" customHeight="1">
      <c r="A1469" s="1562" t="s">
        <v>1452</v>
      </c>
      <c r="B1469" s="1564" t="s">
        <v>676</v>
      </c>
      <c r="C1469" s="1564" t="s">
        <v>610</v>
      </c>
      <c r="D1469" s="1538" t="s">
        <v>611</v>
      </c>
      <c r="E1469" s="1538" t="s">
        <v>1453</v>
      </c>
      <c r="F1469" s="1472" t="s">
        <v>159</v>
      </c>
      <c r="G1469" s="1509" t="s">
        <v>110</v>
      </c>
      <c r="H1469" s="1477" t="s">
        <v>316</v>
      </c>
      <c r="I1469" s="1472" t="s">
        <v>315</v>
      </c>
      <c r="J1469" s="1472" t="s">
        <v>317</v>
      </c>
      <c r="K1469" s="1472" t="s">
        <v>318</v>
      </c>
      <c r="L1469" s="569" t="s">
        <v>1443</v>
      </c>
      <c r="M1469" s="569" t="s">
        <v>1444</v>
      </c>
      <c r="N1469" s="1038" t="s">
        <v>1445</v>
      </c>
      <c r="O1469" s="1477" t="s">
        <v>1673</v>
      </c>
      <c r="P1469" s="1477" t="s">
        <v>1307</v>
      </c>
      <c r="Q1469" s="1495" t="s">
        <v>1454</v>
      </c>
    </row>
    <row r="1470" spans="1:17" s="382" customFormat="1" ht="27" customHeight="1" thickBot="1">
      <c r="A1470" s="1563"/>
      <c r="B1470" s="1565"/>
      <c r="C1470" s="1565"/>
      <c r="D1470" s="1539"/>
      <c r="E1470" s="1539"/>
      <c r="F1470" s="1473"/>
      <c r="G1470" s="1510"/>
      <c r="H1470" s="1478"/>
      <c r="I1470" s="1473"/>
      <c r="J1470" s="1473"/>
      <c r="K1470" s="1473"/>
      <c r="L1470" s="570" t="s">
        <v>805</v>
      </c>
      <c r="M1470" s="570" t="s">
        <v>805</v>
      </c>
      <c r="N1470" s="1039" t="s">
        <v>1149</v>
      </c>
      <c r="O1470" s="1478"/>
      <c r="P1470" s="1478"/>
      <c r="Q1470" s="1496"/>
    </row>
    <row r="1471" spans="1:17" s="382" customFormat="1" ht="30">
      <c r="A1471" s="1556" t="s">
        <v>1775</v>
      </c>
      <c r="B1471" s="1558" t="s">
        <v>1776</v>
      </c>
      <c r="C1471" s="1506" t="s">
        <v>1775</v>
      </c>
      <c r="D1471" s="1503">
        <v>1673</v>
      </c>
      <c r="E1471" s="1799" t="s">
        <v>1451</v>
      </c>
      <c r="F1471" s="1466" t="s">
        <v>322</v>
      </c>
      <c r="G1471" s="1135" t="s">
        <v>1782</v>
      </c>
      <c r="H1471" s="1028" t="s">
        <v>160</v>
      </c>
      <c r="I1471" s="1053">
        <v>5900</v>
      </c>
      <c r="J1471" s="1053">
        <f>'preturi unitare'!H33</f>
        <v>60</v>
      </c>
      <c r="K1471" s="1053">
        <f>I1471*J1471</f>
        <v>354000</v>
      </c>
      <c r="L1471" s="939">
        <v>0</v>
      </c>
      <c r="M1471" s="939">
        <f>K1471</f>
        <v>354000</v>
      </c>
      <c r="N1471" s="1053">
        <v>0</v>
      </c>
      <c r="O1471" s="1463">
        <f>SUM(M1471:M1474)</f>
        <v>969488</v>
      </c>
      <c r="P1471" s="1463">
        <f>O1471/D1471</f>
        <v>579.49073520621641</v>
      </c>
      <c r="Q1471" s="1547" t="s">
        <v>1794</v>
      </c>
    </row>
    <row r="1472" spans="1:17" s="382" customFormat="1" ht="30">
      <c r="A1472" s="1557"/>
      <c r="B1472" s="1508"/>
      <c r="C1472" s="1507"/>
      <c r="D1472" s="1504"/>
      <c r="E1472" s="1800"/>
      <c r="F1472" s="1467"/>
      <c r="G1472" s="1135" t="s">
        <v>1780</v>
      </c>
      <c r="H1472" s="1071" t="s">
        <v>160</v>
      </c>
      <c r="I1472" s="1057">
        <f>13892-I1471-2500</f>
        <v>5492</v>
      </c>
      <c r="J1472" s="1057">
        <f>'preturi unitare'!H22</f>
        <v>64</v>
      </c>
      <c r="K1472" s="1057">
        <f>I1472*J1472</f>
        <v>351488</v>
      </c>
      <c r="L1472" s="411">
        <v>0</v>
      </c>
      <c r="M1472" s="411">
        <f>K1472</f>
        <v>351488</v>
      </c>
      <c r="N1472" s="1057">
        <v>0</v>
      </c>
      <c r="O1472" s="1464"/>
      <c r="P1472" s="1464"/>
      <c r="Q1472" s="1559"/>
    </row>
    <row r="1473" spans="1:17" s="382" customFormat="1" ht="30">
      <c r="A1473" s="1557"/>
      <c r="B1473" s="1508"/>
      <c r="C1473" s="1507"/>
      <c r="D1473" s="1504"/>
      <c r="E1473" s="1800"/>
      <c r="F1473" s="1468"/>
      <c r="G1473" s="1135" t="s">
        <v>1783</v>
      </c>
      <c r="H1473" s="1071" t="s">
        <v>160</v>
      </c>
      <c r="I1473" s="1057">
        <f>13892-(I1471+I1472)</f>
        <v>2500</v>
      </c>
      <c r="J1473" s="1057">
        <f>'preturi unitare'!H24</f>
        <v>79</v>
      </c>
      <c r="K1473" s="1057">
        <f>I1473*J1473</f>
        <v>197500</v>
      </c>
      <c r="L1473" s="411">
        <v>0</v>
      </c>
      <c r="M1473" s="411">
        <f>K1473</f>
        <v>197500</v>
      </c>
      <c r="N1473" s="1057">
        <v>0</v>
      </c>
      <c r="O1473" s="1464"/>
      <c r="P1473" s="1464"/>
      <c r="Q1473" s="1559"/>
    </row>
    <row r="1474" spans="1:17" s="382" customFormat="1" ht="47.25">
      <c r="A1474" s="1557"/>
      <c r="B1474" s="1508"/>
      <c r="C1474" s="1508"/>
      <c r="D1474" s="1505"/>
      <c r="E1474" s="1801"/>
      <c r="F1474" s="1066" t="s">
        <v>279</v>
      </c>
      <c r="G1474" s="1135" t="s">
        <v>1781</v>
      </c>
      <c r="H1474" s="1071" t="s">
        <v>280</v>
      </c>
      <c r="I1474" s="1057">
        <v>1</v>
      </c>
      <c r="J1474" s="1057">
        <f>'preturi unitare'!E26+'preturi unitare'!E6</f>
        <v>66500</v>
      </c>
      <c r="K1474" s="1057">
        <f>J1474*I1474</f>
        <v>66500</v>
      </c>
      <c r="L1474" s="411">
        <v>0</v>
      </c>
      <c r="M1474" s="411">
        <f>K1474</f>
        <v>66500</v>
      </c>
      <c r="N1474" s="1057">
        <v>0</v>
      </c>
      <c r="O1474" s="1465"/>
      <c r="P1474" s="1465"/>
      <c r="Q1474" s="1559"/>
    </row>
    <row r="1475" spans="1:17" s="382" customFormat="1" ht="15" customHeight="1">
      <c r="A1475" s="1101"/>
      <c r="B1475" s="1102"/>
      <c r="C1475" s="1102"/>
      <c r="D1475" s="1102"/>
      <c r="E1475" s="1102"/>
      <c r="F1475" s="1102"/>
      <c r="G1475" s="1102"/>
      <c r="H1475" s="1043"/>
      <c r="I1475" s="1043"/>
      <c r="J1475" s="1043"/>
      <c r="K1475" s="1043"/>
      <c r="L1475" s="334"/>
      <c r="M1475" s="334"/>
      <c r="N1475" s="1043"/>
      <c r="O1475" s="1043"/>
      <c r="P1475" s="1043"/>
      <c r="Q1475" s="644"/>
    </row>
    <row r="1476" spans="1:17" s="382" customFormat="1" ht="15" customHeight="1">
      <c r="A1476" s="1529" t="s">
        <v>1784</v>
      </c>
      <c r="B1476" s="1530"/>
      <c r="C1476" s="1530"/>
      <c r="D1476" s="1530"/>
      <c r="E1476" s="1530"/>
      <c r="F1476" s="1530"/>
      <c r="G1476" s="1531"/>
      <c r="H1476" s="793"/>
      <c r="I1476" s="1043"/>
      <c r="J1476" s="1043"/>
      <c r="K1476" s="364">
        <f>SUM(K1471:K1474)</f>
        <v>969488</v>
      </c>
      <c r="L1476" s="365">
        <f>SUM(L1468:L1474)</f>
        <v>0</v>
      </c>
      <c r="M1476" s="365">
        <f>SUM(M1469:M1474)</f>
        <v>969488</v>
      </c>
      <c r="N1476" s="364">
        <f>SUM(N1469:N1474)</f>
        <v>0</v>
      </c>
      <c r="O1476" s="1043"/>
      <c r="P1476" s="1043"/>
      <c r="Q1476" s="587"/>
    </row>
    <row r="1477" spans="1:17" s="382" customFormat="1" ht="15" customHeight="1" thickBot="1">
      <c r="A1477" s="1103"/>
      <c r="B1477" s="1104"/>
      <c r="C1477" s="1104"/>
      <c r="D1477" s="1104"/>
      <c r="E1477" s="1104"/>
      <c r="F1477" s="1104"/>
      <c r="G1477" s="1104"/>
      <c r="H1477" s="581"/>
      <c r="I1477" s="581"/>
      <c r="J1477" s="581"/>
      <c r="K1477" s="581"/>
      <c r="L1477" s="951"/>
      <c r="M1477" s="951"/>
      <c r="N1477" s="581"/>
      <c r="O1477" s="581"/>
      <c r="P1477" s="581"/>
      <c r="Q1477" s="816"/>
    </row>
    <row r="1478" spans="1:17" s="382" customFormat="1" ht="66" customHeight="1">
      <c r="A1478" s="1542" t="s">
        <v>632</v>
      </c>
      <c r="B1478" s="1544" t="s">
        <v>617</v>
      </c>
      <c r="C1478" s="1538" t="s">
        <v>610</v>
      </c>
      <c r="D1478" s="1538" t="s">
        <v>611</v>
      </c>
      <c r="E1478" s="1538" t="s">
        <v>1453</v>
      </c>
      <c r="F1478" s="1472" t="s">
        <v>159</v>
      </c>
      <c r="G1478" s="1509" t="s">
        <v>110</v>
      </c>
      <c r="H1478" s="1477" t="s">
        <v>316</v>
      </c>
      <c r="I1478" s="1472" t="s">
        <v>315</v>
      </c>
      <c r="J1478" s="1472" t="s">
        <v>317</v>
      </c>
      <c r="K1478" s="1472" t="s">
        <v>318</v>
      </c>
      <c r="L1478" s="569" t="s">
        <v>1443</v>
      </c>
      <c r="M1478" s="569" t="s">
        <v>1444</v>
      </c>
      <c r="N1478" s="1038" t="s">
        <v>1445</v>
      </c>
      <c r="O1478" s="1477" t="s">
        <v>1673</v>
      </c>
      <c r="P1478" s="1477" t="s">
        <v>1307</v>
      </c>
      <c r="Q1478" s="1495" t="s">
        <v>1454</v>
      </c>
    </row>
    <row r="1479" spans="1:17" s="382" customFormat="1" ht="27" customHeight="1" thickBot="1">
      <c r="A1479" s="1543"/>
      <c r="B1479" s="1545"/>
      <c r="C1479" s="1539"/>
      <c r="D1479" s="1539"/>
      <c r="E1479" s="1539"/>
      <c r="F1479" s="1473"/>
      <c r="G1479" s="1510"/>
      <c r="H1479" s="1478"/>
      <c r="I1479" s="1473"/>
      <c r="J1479" s="1473"/>
      <c r="K1479" s="1473"/>
      <c r="L1479" s="570" t="s">
        <v>805</v>
      </c>
      <c r="M1479" s="570" t="s">
        <v>805</v>
      </c>
      <c r="N1479" s="1039" t="s">
        <v>1149</v>
      </c>
      <c r="O1479" s="1478"/>
      <c r="P1479" s="1478"/>
      <c r="Q1479" s="1496"/>
    </row>
    <row r="1480" spans="1:17" s="382" customFormat="1" ht="30">
      <c r="A1480" s="1829" t="s">
        <v>1775</v>
      </c>
      <c r="B1480" s="1540" t="s">
        <v>1785</v>
      </c>
      <c r="C1480" s="1704" t="s">
        <v>1775</v>
      </c>
      <c r="D1480" s="1503">
        <f>D1471</f>
        <v>1673</v>
      </c>
      <c r="E1480" s="1503">
        <f>D1480</f>
        <v>1673</v>
      </c>
      <c r="F1480" s="1106" t="s">
        <v>323</v>
      </c>
      <c r="G1480" s="1080" t="s">
        <v>1786</v>
      </c>
      <c r="H1480" s="1028" t="s">
        <v>280</v>
      </c>
      <c r="I1480" s="1053">
        <v>1</v>
      </c>
      <c r="J1480" s="1053">
        <f>'preturi unitare'!O32</f>
        <v>217000</v>
      </c>
      <c r="K1480" s="1053">
        <f>I1480*J1480</f>
        <v>217000</v>
      </c>
      <c r="L1480" s="939">
        <v>0</v>
      </c>
      <c r="M1480" s="939">
        <f>K1480</f>
        <v>217000</v>
      </c>
      <c r="N1480" s="1053">
        <v>0</v>
      </c>
      <c r="O1480" s="1555">
        <f>SUM(M1480:M1482)</f>
        <v>2179000</v>
      </c>
      <c r="P1480" s="1555">
        <f>O1480/E1480</f>
        <v>1302.4506873879259</v>
      </c>
      <c r="Q1480" s="1824" t="s">
        <v>1796</v>
      </c>
    </row>
    <row r="1481" spans="1:17" s="382" customFormat="1" ht="30">
      <c r="A1481" s="1830"/>
      <c r="B1481" s="1541"/>
      <c r="C1481" s="1725"/>
      <c r="D1481" s="1504"/>
      <c r="E1481" s="1504"/>
      <c r="F1481" s="1107" t="s">
        <v>324</v>
      </c>
      <c r="G1481" s="329" t="s">
        <v>1787</v>
      </c>
      <c r="H1481" s="807" t="s">
        <v>280</v>
      </c>
      <c r="I1481" s="1043">
        <v>4</v>
      </c>
      <c r="J1481" s="1043">
        <f>'preturi unitare'!B32</f>
        <v>67000</v>
      </c>
      <c r="K1481" s="1043">
        <f>I1481*J1481</f>
        <v>268000</v>
      </c>
      <c r="L1481" s="334">
        <v>0</v>
      </c>
      <c r="M1481" s="334">
        <f>K1481</f>
        <v>268000</v>
      </c>
      <c r="N1481" s="1043">
        <v>0</v>
      </c>
      <c r="O1481" s="1482"/>
      <c r="P1481" s="1482"/>
      <c r="Q1481" s="1550"/>
    </row>
    <row r="1482" spans="1:17" s="382" customFormat="1" ht="30">
      <c r="A1482" s="1830"/>
      <c r="B1482" s="1541"/>
      <c r="C1482" s="1826"/>
      <c r="D1482" s="1505"/>
      <c r="E1482" s="1505"/>
      <c r="F1482" s="1107" t="s">
        <v>1788</v>
      </c>
      <c r="G1482" s="362" t="s">
        <v>1789</v>
      </c>
      <c r="H1482" s="807" t="s">
        <v>160</v>
      </c>
      <c r="I1482" s="1060">
        <v>11000</v>
      </c>
      <c r="J1482" s="1060">
        <f>'preturi unitare'!H40</f>
        <v>154</v>
      </c>
      <c r="K1482" s="1043">
        <f>I1482*J1482</f>
        <v>1694000</v>
      </c>
      <c r="L1482" s="334">
        <v>0</v>
      </c>
      <c r="M1482" s="334">
        <f>K1482</f>
        <v>1694000</v>
      </c>
      <c r="N1482" s="1043">
        <v>0</v>
      </c>
      <c r="O1482" s="1482"/>
      <c r="P1482" s="1482"/>
      <c r="Q1482" s="1550"/>
    </row>
    <row r="1483" spans="1:17" s="382" customFormat="1" ht="30">
      <c r="A1483" s="1830"/>
      <c r="B1483" s="1620" t="s">
        <v>1451</v>
      </c>
      <c r="C1483" s="1620" t="s">
        <v>1779</v>
      </c>
      <c r="D1483" s="1513">
        <v>427</v>
      </c>
      <c r="E1483" s="1513">
        <f>D1483</f>
        <v>427</v>
      </c>
      <c r="F1483" s="1107" t="s">
        <v>323</v>
      </c>
      <c r="G1483" s="329" t="s">
        <v>1792</v>
      </c>
      <c r="H1483" s="807" t="s">
        <v>280</v>
      </c>
      <c r="I1483" s="1060">
        <v>1</v>
      </c>
      <c r="J1483" s="1060">
        <f>'preturi unitare'!O25</f>
        <v>92000</v>
      </c>
      <c r="K1483" s="1060">
        <f>I1483*J1483</f>
        <v>92000</v>
      </c>
      <c r="L1483" s="334">
        <v>0</v>
      </c>
      <c r="M1483" s="334">
        <v>0</v>
      </c>
      <c r="N1483" s="1060">
        <f>K1483</f>
        <v>92000</v>
      </c>
      <c r="O1483" s="1580">
        <f>SUM(N1483:N1484)</f>
        <v>554000</v>
      </c>
      <c r="P1483" s="1580">
        <f>O1483/E1483</f>
        <v>1297.423887587822</v>
      </c>
      <c r="Q1483" s="1546" t="s">
        <v>1795</v>
      </c>
    </row>
    <row r="1484" spans="1:17" s="382" customFormat="1" ht="30">
      <c r="A1484" s="1831"/>
      <c r="B1484" s="1826"/>
      <c r="C1484" s="1826"/>
      <c r="D1484" s="1505"/>
      <c r="E1484" s="1505"/>
      <c r="F1484" s="1107" t="s">
        <v>1788</v>
      </c>
      <c r="G1484" s="362" t="s">
        <v>1793</v>
      </c>
      <c r="H1484" s="807" t="s">
        <v>160</v>
      </c>
      <c r="I1484" s="1060">
        <v>3000</v>
      </c>
      <c r="J1484" s="1060">
        <f>'preturi unitare'!H40</f>
        <v>154</v>
      </c>
      <c r="K1484" s="1060">
        <f>I1484*J1484</f>
        <v>462000</v>
      </c>
      <c r="L1484" s="334">
        <v>0</v>
      </c>
      <c r="M1484" s="334">
        <v>0</v>
      </c>
      <c r="N1484" s="1060">
        <f>K1484</f>
        <v>462000</v>
      </c>
      <c r="O1484" s="1465"/>
      <c r="P1484" s="1465"/>
      <c r="Q1484" s="1522"/>
    </row>
    <row r="1485" spans="1:17" s="382" customFormat="1" ht="15" customHeight="1">
      <c r="A1485" s="1108"/>
      <c r="B1485" s="625"/>
      <c r="C1485" s="625"/>
      <c r="D1485" s="625"/>
      <c r="E1485" s="625"/>
      <c r="F1485" s="1102"/>
      <c r="G1485" s="1102"/>
      <c r="H1485" s="1043"/>
      <c r="I1485" s="1043"/>
      <c r="J1485" s="1043"/>
      <c r="K1485" s="1043"/>
      <c r="L1485" s="334"/>
      <c r="M1485" s="334"/>
      <c r="N1485" s="1043"/>
      <c r="O1485" s="1043"/>
      <c r="P1485" s="1043"/>
      <c r="Q1485" s="644"/>
    </row>
    <row r="1486" spans="1:17" s="382" customFormat="1" ht="15" customHeight="1">
      <c r="A1486" s="1523" t="s">
        <v>1790</v>
      </c>
      <c r="B1486" s="1524"/>
      <c r="C1486" s="1524"/>
      <c r="D1486" s="1524"/>
      <c r="E1486" s="1524"/>
      <c r="F1486" s="1524"/>
      <c r="G1486" s="1525"/>
      <c r="H1486" s="408"/>
      <c r="I1486" s="408"/>
      <c r="J1486" s="408"/>
      <c r="K1486" s="408">
        <f>SUM(K1480:K1484)</f>
        <v>2733000</v>
      </c>
      <c r="L1486" s="365">
        <f>SUM(L1480:L1484)</f>
        <v>0</v>
      </c>
      <c r="M1486" s="365">
        <f>SUM(M1480:M1484)</f>
        <v>2179000</v>
      </c>
      <c r="N1486" s="408">
        <f>SUM(N1480:N1484)</f>
        <v>554000</v>
      </c>
      <c r="O1486" s="389"/>
      <c r="P1486" s="389"/>
      <c r="Q1486" s="587"/>
    </row>
    <row r="1487" spans="1:17" s="382" customFormat="1" ht="15" customHeight="1">
      <c r="A1487" s="820"/>
      <c r="B1487" s="1040"/>
      <c r="C1487" s="1040"/>
      <c r="D1487" s="1037"/>
      <c r="E1487" s="1037"/>
      <c r="F1487" s="1035"/>
      <c r="G1487" s="328"/>
      <c r="H1487" s="1043"/>
      <c r="I1487" s="1043"/>
      <c r="J1487" s="1043"/>
      <c r="K1487" s="1043"/>
      <c r="L1487" s="334"/>
      <c r="M1487" s="334"/>
      <c r="N1487" s="1043"/>
      <c r="O1487" s="1044"/>
      <c r="P1487" s="1044"/>
      <c r="Q1487" s="587"/>
    </row>
    <row r="1488" spans="1:17" s="382" customFormat="1" ht="15" customHeight="1" thickBot="1">
      <c r="A1488" s="1474" t="s">
        <v>1791</v>
      </c>
      <c r="B1488" s="1475"/>
      <c r="C1488" s="1475"/>
      <c r="D1488" s="1475"/>
      <c r="E1488" s="1475"/>
      <c r="F1488" s="1475"/>
      <c r="G1488" s="1476"/>
      <c r="H1488" s="581"/>
      <c r="I1488" s="581"/>
      <c r="J1488" s="581"/>
      <c r="K1488" s="582">
        <f>K1486+K1476</f>
        <v>3702488</v>
      </c>
      <c r="L1488" s="583">
        <f>L1486+L1476</f>
        <v>0</v>
      </c>
      <c r="M1488" s="583">
        <f>M1486+M1476</f>
        <v>3148488</v>
      </c>
      <c r="N1488" s="582">
        <f>N1486+N1476</f>
        <v>554000</v>
      </c>
      <c r="O1488" s="581"/>
      <c r="P1488" s="581"/>
      <c r="Q1488" s="816"/>
    </row>
    <row r="1489" spans="1:17" s="382" customFormat="1" ht="15" customHeight="1" thickBot="1">
      <c r="A1489" s="1090"/>
      <c r="B1489" s="1090"/>
      <c r="C1489" s="1090"/>
      <c r="D1489" s="1090"/>
      <c r="E1489" s="1090"/>
      <c r="F1489" s="1090"/>
      <c r="G1489" s="1091"/>
      <c r="H1489" s="1055"/>
      <c r="I1489" s="1055"/>
      <c r="J1489" s="1055"/>
      <c r="K1489" s="626"/>
      <c r="L1489" s="592"/>
      <c r="M1489" s="592"/>
      <c r="N1489" s="626"/>
      <c r="O1489" s="1055"/>
      <c r="P1489" s="1055"/>
      <c r="Q1489" s="1092"/>
    </row>
    <row r="1490" spans="1:17" s="382" customFormat="1" ht="15" customHeight="1" thickBot="1">
      <c r="A1490" s="859"/>
      <c r="B1490" s="639"/>
      <c r="C1490" s="639"/>
      <c r="D1490" s="1112"/>
      <c r="E1490" s="1112"/>
      <c r="F1490" s="846"/>
      <c r="G1490" s="577" t="s">
        <v>1934</v>
      </c>
      <c r="H1490" s="1072"/>
      <c r="I1490" s="1073"/>
      <c r="J1490" s="641"/>
      <c r="K1490" s="639"/>
      <c r="L1490" s="640"/>
      <c r="M1490" s="640"/>
      <c r="N1490" s="639"/>
      <c r="O1490" s="1112"/>
      <c r="P1490" s="1112"/>
      <c r="Q1490" s="642"/>
    </row>
    <row r="1491" spans="1:17" s="382" customFormat="1" ht="15" customHeight="1" thickBot="1">
      <c r="A1491" s="833"/>
      <c r="B1491" s="355"/>
      <c r="C1491" s="355"/>
      <c r="D1491" s="898"/>
      <c r="E1491" s="898"/>
      <c r="F1491" s="356"/>
      <c r="G1491" s="576"/>
      <c r="H1491" s="358"/>
      <c r="I1491" s="358"/>
      <c r="J1491" s="358"/>
      <c r="K1491" s="358"/>
      <c r="L1491" s="359"/>
      <c r="M1491" s="359"/>
      <c r="N1491" s="358"/>
      <c r="O1491" s="1074"/>
      <c r="P1491" s="1074"/>
      <c r="Q1491" s="857"/>
    </row>
    <row r="1492" spans="1:17" s="382" customFormat="1" ht="63.75" customHeight="1">
      <c r="A1492" s="1562" t="s">
        <v>1452</v>
      </c>
      <c r="B1492" s="1564" t="s">
        <v>676</v>
      </c>
      <c r="C1492" s="1564" t="s">
        <v>610</v>
      </c>
      <c r="D1492" s="1538" t="s">
        <v>611</v>
      </c>
      <c r="E1492" s="1538" t="s">
        <v>1453</v>
      </c>
      <c r="F1492" s="1472" t="s">
        <v>159</v>
      </c>
      <c r="G1492" s="1509" t="s">
        <v>110</v>
      </c>
      <c r="H1492" s="1477" t="s">
        <v>316</v>
      </c>
      <c r="I1492" s="1472" t="s">
        <v>315</v>
      </c>
      <c r="J1492" s="1472" t="s">
        <v>317</v>
      </c>
      <c r="K1492" s="1472" t="s">
        <v>318</v>
      </c>
      <c r="L1492" s="569" t="s">
        <v>1443</v>
      </c>
      <c r="M1492" s="569" t="s">
        <v>1444</v>
      </c>
      <c r="N1492" s="1061" t="s">
        <v>1445</v>
      </c>
      <c r="O1492" s="1477" t="s">
        <v>1673</v>
      </c>
      <c r="P1492" s="1477" t="s">
        <v>1307</v>
      </c>
      <c r="Q1492" s="1495" t="s">
        <v>1454</v>
      </c>
    </row>
    <row r="1493" spans="1:17" s="382" customFormat="1" ht="15" customHeight="1" thickBot="1">
      <c r="A1493" s="1563"/>
      <c r="B1493" s="1565"/>
      <c r="C1493" s="1565"/>
      <c r="D1493" s="1539"/>
      <c r="E1493" s="1539"/>
      <c r="F1493" s="1473"/>
      <c r="G1493" s="1510"/>
      <c r="H1493" s="1478"/>
      <c r="I1493" s="1473"/>
      <c r="J1493" s="1473"/>
      <c r="K1493" s="1473"/>
      <c r="L1493" s="570" t="s">
        <v>805</v>
      </c>
      <c r="M1493" s="570" t="s">
        <v>805</v>
      </c>
      <c r="N1493" s="1062" t="s">
        <v>1149</v>
      </c>
      <c r="O1493" s="1478"/>
      <c r="P1493" s="1478"/>
      <c r="Q1493" s="1496"/>
    </row>
    <row r="1494" spans="1:17" s="382" customFormat="1" ht="30">
      <c r="A1494" s="1556" t="s">
        <v>1797</v>
      </c>
      <c r="B1494" s="1558" t="s">
        <v>1776</v>
      </c>
      <c r="C1494" s="1506" t="s">
        <v>1798</v>
      </c>
      <c r="D1494" s="1503">
        <v>2690</v>
      </c>
      <c r="E1494" s="1799" t="s">
        <v>1451</v>
      </c>
      <c r="F1494" s="743" t="s">
        <v>676</v>
      </c>
      <c r="G1494" s="1135" t="s">
        <v>1799</v>
      </c>
      <c r="H1494" s="1028" t="s">
        <v>280</v>
      </c>
      <c r="I1494" s="1059">
        <v>1</v>
      </c>
      <c r="J1494" s="1059">
        <v>50000</v>
      </c>
      <c r="K1494" s="1059">
        <f>I1494*J1494</f>
        <v>50000</v>
      </c>
      <c r="L1494" s="939">
        <f>K1494</f>
        <v>50000</v>
      </c>
      <c r="M1494" s="939">
        <v>0</v>
      </c>
      <c r="N1494" s="1059">
        <v>0</v>
      </c>
      <c r="O1494" s="1463">
        <f>SUM(L1494:L1495)</f>
        <v>242000</v>
      </c>
      <c r="P1494" s="1463">
        <f>O1494/D1494</f>
        <v>89.962825278810413</v>
      </c>
      <c r="Q1494" s="1547" t="s">
        <v>1802</v>
      </c>
    </row>
    <row r="1495" spans="1:17" s="382" customFormat="1" ht="50.25" customHeight="1">
      <c r="A1495" s="1557"/>
      <c r="B1495" s="1508"/>
      <c r="C1495" s="1507"/>
      <c r="D1495" s="1504"/>
      <c r="E1495" s="1800"/>
      <c r="F1495" s="1069" t="s">
        <v>322</v>
      </c>
      <c r="G1495" s="1135" t="s">
        <v>1800</v>
      </c>
      <c r="H1495" s="1071" t="s">
        <v>160</v>
      </c>
      <c r="I1495" s="1057">
        <v>3000</v>
      </c>
      <c r="J1495" s="1057">
        <f>'preturi unitare'!H22</f>
        <v>64</v>
      </c>
      <c r="K1495" s="1060">
        <f t="shared" ref="K1495" si="119">I1495*J1495</f>
        <v>192000</v>
      </c>
      <c r="L1495" s="411">
        <f>K1495</f>
        <v>192000</v>
      </c>
      <c r="M1495" s="411">
        <v>0</v>
      </c>
      <c r="N1495" s="1057">
        <v>0</v>
      </c>
      <c r="O1495" s="1464"/>
      <c r="P1495" s="1464"/>
      <c r="Q1495" s="1559"/>
    </row>
    <row r="1496" spans="1:17" s="382" customFormat="1" ht="15" customHeight="1">
      <c r="A1496" s="1101"/>
      <c r="B1496" s="1102"/>
      <c r="C1496" s="1102"/>
      <c r="D1496" s="1102"/>
      <c r="E1496" s="1102"/>
      <c r="F1496" s="1102"/>
      <c r="G1496" s="1102"/>
      <c r="H1496" s="1060"/>
      <c r="I1496" s="1060"/>
      <c r="J1496" s="1060"/>
      <c r="K1496" s="1060"/>
      <c r="L1496" s="334"/>
      <c r="M1496" s="334"/>
      <c r="N1496" s="1060"/>
      <c r="O1496" s="1060"/>
      <c r="P1496" s="1060"/>
      <c r="Q1496" s="644"/>
    </row>
    <row r="1497" spans="1:17" s="382" customFormat="1" ht="15" customHeight="1">
      <c r="A1497" s="1529" t="s">
        <v>1801</v>
      </c>
      <c r="B1497" s="1530"/>
      <c r="C1497" s="1530"/>
      <c r="D1497" s="1530"/>
      <c r="E1497" s="1530"/>
      <c r="F1497" s="1530"/>
      <c r="G1497" s="1531"/>
      <c r="H1497" s="793"/>
      <c r="I1497" s="1060"/>
      <c r="J1497" s="1060"/>
      <c r="K1497" s="364">
        <f>SUM(K1494:K1495)</f>
        <v>242000</v>
      </c>
      <c r="L1497" s="365">
        <f>SUM(L1491:L1495)</f>
        <v>242000</v>
      </c>
      <c r="M1497" s="365">
        <f>SUM(M1492:M1495)</f>
        <v>0</v>
      </c>
      <c r="N1497" s="364">
        <f>SUM(N1492:N1495)</f>
        <v>0</v>
      </c>
      <c r="O1497" s="1060"/>
      <c r="P1497" s="1060"/>
      <c r="Q1497" s="587"/>
    </row>
    <row r="1498" spans="1:17" s="382" customFormat="1" ht="15" customHeight="1" thickBot="1">
      <c r="A1498" s="1103"/>
      <c r="B1498" s="1104"/>
      <c r="C1498" s="1104"/>
      <c r="D1498" s="1104"/>
      <c r="E1498" s="1104"/>
      <c r="F1498" s="1104"/>
      <c r="G1498" s="1104"/>
      <c r="H1498" s="581"/>
      <c r="I1498" s="581"/>
      <c r="J1498" s="581"/>
      <c r="K1498" s="581"/>
      <c r="L1498" s="951"/>
      <c r="M1498" s="951"/>
      <c r="N1498" s="581"/>
      <c r="O1498" s="581"/>
      <c r="P1498" s="581"/>
      <c r="Q1498" s="816"/>
    </row>
    <row r="1499" spans="1:17" s="382" customFormat="1" ht="15" customHeight="1">
      <c r="A1499" s="1542" t="s">
        <v>632</v>
      </c>
      <c r="B1499" s="1544" t="s">
        <v>617</v>
      </c>
      <c r="C1499" s="1538" t="s">
        <v>610</v>
      </c>
      <c r="D1499" s="1538" t="s">
        <v>611</v>
      </c>
      <c r="E1499" s="1538" t="s">
        <v>1453</v>
      </c>
      <c r="F1499" s="1472" t="s">
        <v>159</v>
      </c>
      <c r="G1499" s="1509" t="s">
        <v>110</v>
      </c>
      <c r="H1499" s="1477" t="s">
        <v>316</v>
      </c>
      <c r="I1499" s="1472" t="s">
        <v>315</v>
      </c>
      <c r="J1499" s="1472" t="s">
        <v>317</v>
      </c>
      <c r="K1499" s="1472" t="s">
        <v>318</v>
      </c>
      <c r="L1499" s="569" t="s">
        <v>1443</v>
      </c>
      <c r="M1499" s="569" t="s">
        <v>1444</v>
      </c>
      <c r="N1499" s="1061" t="s">
        <v>1445</v>
      </c>
      <c r="O1499" s="1477" t="s">
        <v>1673</v>
      </c>
      <c r="P1499" s="1477" t="s">
        <v>1307</v>
      </c>
      <c r="Q1499" s="1495" t="s">
        <v>1454</v>
      </c>
    </row>
    <row r="1500" spans="1:17" s="382" customFormat="1" ht="15" customHeight="1" thickBot="1">
      <c r="A1500" s="1543"/>
      <c r="B1500" s="1545"/>
      <c r="C1500" s="1539"/>
      <c r="D1500" s="1539"/>
      <c r="E1500" s="1539"/>
      <c r="F1500" s="1473"/>
      <c r="G1500" s="1510"/>
      <c r="H1500" s="1478"/>
      <c r="I1500" s="1473"/>
      <c r="J1500" s="1473"/>
      <c r="K1500" s="1473"/>
      <c r="L1500" s="570" t="s">
        <v>805</v>
      </c>
      <c r="M1500" s="570" t="s">
        <v>805</v>
      </c>
      <c r="N1500" s="1062" t="s">
        <v>1149</v>
      </c>
      <c r="O1500" s="1478"/>
      <c r="P1500" s="1478"/>
      <c r="Q1500" s="1496"/>
    </row>
    <row r="1501" spans="1:17" s="382" customFormat="1" ht="58.5" customHeight="1">
      <c r="A1501" s="1105" t="s">
        <v>1798</v>
      </c>
      <c r="B1501" s="1076" t="s">
        <v>1785</v>
      </c>
      <c r="C1501" s="1070" t="s">
        <v>1798</v>
      </c>
      <c r="D1501" s="1063">
        <f>D1494</f>
        <v>2690</v>
      </c>
      <c r="E1501" s="1063">
        <f>1.1*D1501</f>
        <v>2959.0000000000005</v>
      </c>
      <c r="F1501" s="1107" t="s">
        <v>1788</v>
      </c>
      <c r="G1501" s="329" t="s">
        <v>1803</v>
      </c>
      <c r="H1501" s="1028" t="s">
        <v>280</v>
      </c>
      <c r="I1501" s="1059">
        <v>6000</v>
      </c>
      <c r="J1501" s="1059">
        <f>'preturi unitare'!H40</f>
        <v>154</v>
      </c>
      <c r="K1501" s="1059">
        <f>I1501*J1501</f>
        <v>924000</v>
      </c>
      <c r="L1501" s="939">
        <f>K1501</f>
        <v>924000</v>
      </c>
      <c r="M1501" s="939">
        <v>0</v>
      </c>
      <c r="N1501" s="1059">
        <v>0</v>
      </c>
      <c r="O1501" s="1059">
        <f>L1501</f>
        <v>924000</v>
      </c>
      <c r="P1501" s="1059">
        <f>O1501/E1501</f>
        <v>312.26765799256503</v>
      </c>
      <c r="Q1501" s="1137" t="s">
        <v>1806</v>
      </c>
    </row>
    <row r="1502" spans="1:17" s="382" customFormat="1" ht="15" customHeight="1">
      <c r="A1502" s="1108"/>
      <c r="B1502" s="1098"/>
      <c r="C1502" s="1098"/>
      <c r="D1502" s="1098"/>
      <c r="E1502" s="1098"/>
      <c r="F1502" s="1102"/>
      <c r="G1502" s="1102"/>
      <c r="H1502" s="1060"/>
      <c r="I1502" s="1060"/>
      <c r="J1502" s="1060"/>
      <c r="K1502" s="1060"/>
      <c r="L1502" s="334"/>
      <c r="M1502" s="334"/>
      <c r="N1502" s="1060"/>
      <c r="O1502" s="1060"/>
      <c r="P1502" s="1060"/>
      <c r="Q1502" s="1138"/>
    </row>
    <row r="1503" spans="1:17" s="382" customFormat="1" ht="15" customHeight="1">
      <c r="A1503" s="1523" t="s">
        <v>1804</v>
      </c>
      <c r="B1503" s="1524"/>
      <c r="C1503" s="1524"/>
      <c r="D1503" s="1524"/>
      <c r="E1503" s="1524"/>
      <c r="F1503" s="1524"/>
      <c r="G1503" s="1525"/>
      <c r="H1503" s="408"/>
      <c r="I1503" s="408"/>
      <c r="J1503" s="408"/>
      <c r="K1503" s="408">
        <f>SUM(K1501:K1501)</f>
        <v>924000</v>
      </c>
      <c r="L1503" s="365">
        <f>SUM(L1501:L1501)</f>
        <v>924000</v>
      </c>
      <c r="M1503" s="365">
        <f>SUM(M1501:M1501)</f>
        <v>0</v>
      </c>
      <c r="N1503" s="408">
        <f>SUM(N1501:N1501)</f>
        <v>0</v>
      </c>
      <c r="O1503" s="389"/>
      <c r="P1503" s="389"/>
      <c r="Q1503" s="988"/>
    </row>
    <row r="1504" spans="1:17" s="382" customFormat="1" ht="15" customHeight="1">
      <c r="A1504" s="820"/>
      <c r="B1504" s="1065"/>
      <c r="C1504" s="1065"/>
      <c r="D1504" s="1067"/>
      <c r="E1504" s="1067"/>
      <c r="F1504" s="1069"/>
      <c r="G1504" s="328"/>
      <c r="H1504" s="1060"/>
      <c r="I1504" s="1060"/>
      <c r="J1504" s="1060"/>
      <c r="K1504" s="1060"/>
      <c r="L1504" s="334"/>
      <c r="M1504" s="334"/>
      <c r="N1504" s="1060"/>
      <c r="O1504" s="1064"/>
      <c r="P1504" s="1064"/>
      <c r="Q1504" s="587"/>
    </row>
    <row r="1505" spans="1:17" s="382" customFormat="1" ht="15" customHeight="1" thickBot="1">
      <c r="A1505" s="1474" t="s">
        <v>1805</v>
      </c>
      <c r="B1505" s="1475"/>
      <c r="C1505" s="1475"/>
      <c r="D1505" s="1475"/>
      <c r="E1505" s="1475"/>
      <c r="F1505" s="1475"/>
      <c r="G1505" s="1476"/>
      <c r="H1505" s="581"/>
      <c r="I1505" s="581"/>
      <c r="J1505" s="581"/>
      <c r="K1505" s="582">
        <f>K1503+K1497</f>
        <v>1166000</v>
      </c>
      <c r="L1505" s="583">
        <f>L1503+L1497</f>
        <v>1166000</v>
      </c>
      <c r="M1505" s="583">
        <f>M1503+M1497</f>
        <v>0</v>
      </c>
      <c r="N1505" s="582">
        <f>N1503+N1497</f>
        <v>0</v>
      </c>
      <c r="O1505" s="581"/>
      <c r="P1505" s="581"/>
      <c r="Q1505" s="816"/>
    </row>
    <row r="1506" spans="1:17" s="382" customFormat="1" ht="15" customHeight="1" thickBot="1">
      <c r="A1506" s="1090"/>
      <c r="B1506" s="1090"/>
      <c r="C1506" s="1090"/>
      <c r="D1506" s="1090"/>
      <c r="E1506" s="1090"/>
      <c r="F1506" s="1090"/>
      <c r="G1506" s="1091"/>
      <c r="H1506" s="1055"/>
      <c r="I1506" s="1055"/>
      <c r="J1506" s="1055"/>
      <c r="K1506" s="626"/>
      <c r="L1506" s="592"/>
      <c r="M1506" s="592"/>
      <c r="N1506" s="626"/>
      <c r="O1506" s="1055"/>
      <c r="P1506" s="1055"/>
      <c r="Q1506" s="1092"/>
    </row>
    <row r="1507" spans="1:17" s="382" customFormat="1" ht="15" customHeight="1" thickBot="1">
      <c r="A1507" s="859"/>
      <c r="B1507" s="639"/>
      <c r="C1507" s="639"/>
      <c r="D1507" s="1112"/>
      <c r="E1507" s="1112"/>
      <c r="F1507" s="846"/>
      <c r="G1507" s="577" t="s">
        <v>1935</v>
      </c>
      <c r="H1507" s="1072"/>
      <c r="I1507" s="1073"/>
      <c r="J1507" s="641"/>
      <c r="K1507" s="639"/>
      <c r="L1507" s="640"/>
      <c r="M1507" s="640"/>
      <c r="N1507" s="639"/>
      <c r="O1507" s="1112"/>
      <c r="P1507" s="1112"/>
      <c r="Q1507" s="642"/>
    </row>
    <row r="1508" spans="1:17" s="382" customFormat="1" ht="15" customHeight="1" thickBot="1">
      <c r="A1508" s="833"/>
      <c r="B1508" s="355"/>
      <c r="C1508" s="355"/>
      <c r="D1508" s="898"/>
      <c r="E1508" s="898"/>
      <c r="F1508" s="356"/>
      <c r="G1508" s="576"/>
      <c r="H1508" s="358"/>
      <c r="I1508" s="358"/>
      <c r="J1508" s="358"/>
      <c r="K1508" s="358"/>
      <c r="L1508" s="359"/>
      <c r="M1508" s="359"/>
      <c r="N1508" s="358"/>
      <c r="O1508" s="1074"/>
      <c r="P1508" s="1074"/>
      <c r="Q1508" s="857"/>
    </row>
    <row r="1509" spans="1:17" s="382" customFormat="1" ht="55.5" customHeight="1">
      <c r="A1509" s="1562" t="s">
        <v>1452</v>
      </c>
      <c r="B1509" s="1564" t="s">
        <v>676</v>
      </c>
      <c r="C1509" s="1564" t="s">
        <v>610</v>
      </c>
      <c r="D1509" s="1538" t="s">
        <v>611</v>
      </c>
      <c r="E1509" s="1538" t="s">
        <v>1453</v>
      </c>
      <c r="F1509" s="1472" t="s">
        <v>159</v>
      </c>
      <c r="G1509" s="1509" t="s">
        <v>110</v>
      </c>
      <c r="H1509" s="1477" t="s">
        <v>316</v>
      </c>
      <c r="I1509" s="1472" t="s">
        <v>315</v>
      </c>
      <c r="J1509" s="1472" t="s">
        <v>317</v>
      </c>
      <c r="K1509" s="1472" t="s">
        <v>318</v>
      </c>
      <c r="L1509" s="569" t="s">
        <v>1443</v>
      </c>
      <c r="M1509" s="569" t="s">
        <v>1444</v>
      </c>
      <c r="N1509" s="1061" t="s">
        <v>1445</v>
      </c>
      <c r="O1509" s="1477" t="s">
        <v>1673</v>
      </c>
      <c r="P1509" s="1477" t="s">
        <v>1307</v>
      </c>
      <c r="Q1509" s="1495" t="s">
        <v>1454</v>
      </c>
    </row>
    <row r="1510" spans="1:17" s="382" customFormat="1" ht="26.25" customHeight="1" thickBot="1">
      <c r="A1510" s="1563"/>
      <c r="B1510" s="1565"/>
      <c r="C1510" s="1565"/>
      <c r="D1510" s="1539"/>
      <c r="E1510" s="1539"/>
      <c r="F1510" s="1473"/>
      <c r="G1510" s="1510"/>
      <c r="H1510" s="1478"/>
      <c r="I1510" s="1473"/>
      <c r="J1510" s="1473"/>
      <c r="K1510" s="1473"/>
      <c r="L1510" s="570" t="s">
        <v>805</v>
      </c>
      <c r="M1510" s="570" t="s">
        <v>805</v>
      </c>
      <c r="N1510" s="1062" t="s">
        <v>1149</v>
      </c>
      <c r="O1510" s="1478"/>
      <c r="P1510" s="1478"/>
      <c r="Q1510" s="1496"/>
    </row>
    <row r="1511" spans="1:17" s="382" customFormat="1" ht="30" customHeight="1">
      <c r="A1511" s="1834" t="s">
        <v>1807</v>
      </c>
      <c r="B1511" s="1506" t="s">
        <v>1831</v>
      </c>
      <c r="C1511" s="1558" t="s">
        <v>1807</v>
      </c>
      <c r="D1511" s="1516">
        <v>933</v>
      </c>
      <c r="E1511" s="1827" t="s">
        <v>1451</v>
      </c>
      <c r="F1511" s="743" t="s">
        <v>676</v>
      </c>
      <c r="G1511" s="1097" t="s">
        <v>1813</v>
      </c>
      <c r="H1511" s="1028" t="s">
        <v>280</v>
      </c>
      <c r="I1511" s="1059">
        <v>1</v>
      </c>
      <c r="J1511" s="1059">
        <f>'preturi unitare'!E6</f>
        <v>30000</v>
      </c>
      <c r="K1511" s="1059">
        <f>I1511*J1511</f>
        <v>30000</v>
      </c>
      <c r="L1511" s="939">
        <v>0</v>
      </c>
      <c r="M1511" s="939">
        <f t="shared" ref="M1511:M1518" si="120">K1511</f>
        <v>30000</v>
      </c>
      <c r="N1511" s="1059">
        <v>0</v>
      </c>
      <c r="O1511" s="1555">
        <f>SUM(M1511:M1516)</f>
        <v>206939</v>
      </c>
      <c r="P1511" s="1555">
        <f>O1511/D1511</f>
        <v>221.79957127545552</v>
      </c>
      <c r="Q1511" s="1497" t="s">
        <v>1820</v>
      </c>
    </row>
    <row r="1512" spans="1:17" s="382" customFormat="1" ht="30" customHeight="1">
      <c r="A1512" s="1835"/>
      <c r="B1512" s="1507"/>
      <c r="C1512" s="1832"/>
      <c r="D1512" s="1514"/>
      <c r="E1512" s="1828"/>
      <c r="F1512" s="1069" t="s">
        <v>643</v>
      </c>
      <c r="G1512" s="1100" t="s">
        <v>1812</v>
      </c>
      <c r="H1512" s="807" t="s">
        <v>160</v>
      </c>
      <c r="I1512" s="1060">
        <v>600</v>
      </c>
      <c r="J1512" s="1060">
        <f>'preturi unitare'!H22</f>
        <v>64</v>
      </c>
      <c r="K1512" s="1060">
        <f>I1512*J1512</f>
        <v>38400</v>
      </c>
      <c r="L1512" s="334">
        <v>0</v>
      </c>
      <c r="M1512" s="334">
        <f t="shared" si="120"/>
        <v>38400</v>
      </c>
      <c r="N1512" s="1060">
        <v>0</v>
      </c>
      <c r="O1512" s="1482"/>
      <c r="P1512" s="1482"/>
      <c r="Q1512" s="1646"/>
    </row>
    <row r="1513" spans="1:17" s="382" customFormat="1" ht="30">
      <c r="A1513" s="1835"/>
      <c r="B1513" s="1507"/>
      <c r="C1513" s="1832"/>
      <c r="D1513" s="1514"/>
      <c r="E1513" s="1828"/>
      <c r="F1513" s="1600" t="s">
        <v>322</v>
      </c>
      <c r="G1513" s="1100" t="s">
        <v>1809</v>
      </c>
      <c r="H1513" s="807" t="s">
        <v>160</v>
      </c>
      <c r="I1513" s="1060">
        <v>335</v>
      </c>
      <c r="J1513" s="1060">
        <v>55</v>
      </c>
      <c r="K1513" s="1060">
        <f t="shared" ref="K1513" si="121">I1513*J1513</f>
        <v>18425</v>
      </c>
      <c r="L1513" s="334">
        <v>0</v>
      </c>
      <c r="M1513" s="334">
        <f t="shared" si="120"/>
        <v>18425</v>
      </c>
      <c r="N1513" s="1060">
        <v>0</v>
      </c>
      <c r="O1513" s="1482"/>
      <c r="P1513" s="1482"/>
      <c r="Q1513" s="1646"/>
    </row>
    <row r="1514" spans="1:17" s="382" customFormat="1" ht="30">
      <c r="A1514" s="1835"/>
      <c r="B1514" s="1507"/>
      <c r="C1514" s="1832"/>
      <c r="D1514" s="1514"/>
      <c r="E1514" s="1828"/>
      <c r="F1514" s="1600"/>
      <c r="G1514" s="1100" t="s">
        <v>1810</v>
      </c>
      <c r="H1514" s="807" t="s">
        <v>160</v>
      </c>
      <c r="I1514" s="1060">
        <v>283</v>
      </c>
      <c r="J1514" s="1060">
        <f>'preturi unitare'!H32</f>
        <v>58</v>
      </c>
      <c r="K1514" s="1060">
        <f>I1514*J1514</f>
        <v>16414</v>
      </c>
      <c r="L1514" s="334">
        <v>0</v>
      </c>
      <c r="M1514" s="334">
        <f t="shared" si="120"/>
        <v>16414</v>
      </c>
      <c r="N1514" s="1060">
        <v>0</v>
      </c>
      <c r="O1514" s="1482"/>
      <c r="P1514" s="1482"/>
      <c r="Q1514" s="1646"/>
    </row>
    <row r="1515" spans="1:17" s="382" customFormat="1" ht="30">
      <c r="A1515" s="1835"/>
      <c r="B1515" s="1507"/>
      <c r="C1515" s="1832"/>
      <c r="D1515" s="1514"/>
      <c r="E1515" s="1828"/>
      <c r="F1515" s="1600"/>
      <c r="G1515" s="1100" t="s">
        <v>1808</v>
      </c>
      <c r="H1515" s="807" t="s">
        <v>160</v>
      </c>
      <c r="I1515" s="1060">
        <v>1050</v>
      </c>
      <c r="J1515" s="1060">
        <f>'preturi unitare'!H22</f>
        <v>64</v>
      </c>
      <c r="K1515" s="1060">
        <f>I1515*J1515</f>
        <v>67200</v>
      </c>
      <c r="L1515" s="334">
        <v>0</v>
      </c>
      <c r="M1515" s="334">
        <f t="shared" si="120"/>
        <v>67200</v>
      </c>
      <c r="N1515" s="1060">
        <v>0</v>
      </c>
      <c r="O1515" s="1482"/>
      <c r="P1515" s="1482"/>
      <c r="Q1515" s="1646"/>
    </row>
    <row r="1516" spans="1:17" s="382" customFormat="1" ht="17.25">
      <c r="A1516" s="1835"/>
      <c r="B1516" s="1507"/>
      <c r="C1516" s="1832"/>
      <c r="D1516" s="1514"/>
      <c r="E1516" s="1828"/>
      <c r="F1516" s="1069" t="s">
        <v>279</v>
      </c>
      <c r="G1516" s="1100" t="s">
        <v>1811</v>
      </c>
      <c r="H1516" s="807" t="s">
        <v>280</v>
      </c>
      <c r="I1516" s="1060">
        <v>1</v>
      </c>
      <c r="J1516" s="1060">
        <f>'preturi unitare'!E26</f>
        <v>36500</v>
      </c>
      <c r="K1516" s="1060">
        <f>I1516*J1516</f>
        <v>36500</v>
      </c>
      <c r="L1516" s="334">
        <v>0</v>
      </c>
      <c r="M1516" s="334">
        <f t="shared" si="120"/>
        <v>36500</v>
      </c>
      <c r="N1516" s="1060">
        <v>0</v>
      </c>
      <c r="O1516" s="1482"/>
      <c r="P1516" s="1482"/>
      <c r="Q1516" s="1646"/>
    </row>
    <row r="1517" spans="1:17" s="382" customFormat="1" ht="30">
      <c r="A1517" s="1835"/>
      <c r="B1517" s="1507"/>
      <c r="C1517" s="1833" t="s">
        <v>1814</v>
      </c>
      <c r="D1517" s="1513">
        <v>575</v>
      </c>
      <c r="E1517" s="1833" t="s">
        <v>1451</v>
      </c>
      <c r="F1517" s="1069" t="s">
        <v>643</v>
      </c>
      <c r="G1517" s="1100" t="s">
        <v>1812</v>
      </c>
      <c r="H1517" s="807" t="s">
        <v>160</v>
      </c>
      <c r="I1517" s="1060">
        <v>270</v>
      </c>
      <c r="J1517" s="1060">
        <f>'preturi unitare'!H22</f>
        <v>64</v>
      </c>
      <c r="K1517" s="1060">
        <f>I1517*J1517</f>
        <v>17280</v>
      </c>
      <c r="L1517" s="334">
        <v>0</v>
      </c>
      <c r="M1517" s="334">
        <f t="shared" si="120"/>
        <v>17280</v>
      </c>
      <c r="N1517" s="1060">
        <v>0</v>
      </c>
      <c r="O1517" s="1580">
        <f>SUM(M1517:M1522)</f>
        <v>233285</v>
      </c>
      <c r="P1517" s="1580">
        <f>O1517/D1517</f>
        <v>405.71304347826089</v>
      </c>
      <c r="Q1517" s="1646"/>
    </row>
    <row r="1518" spans="1:17" s="382" customFormat="1" ht="30">
      <c r="A1518" s="1835"/>
      <c r="B1518" s="1507"/>
      <c r="C1518" s="1507"/>
      <c r="D1518" s="1504"/>
      <c r="E1518" s="1507"/>
      <c r="F1518" s="1687" t="s">
        <v>322</v>
      </c>
      <c r="G1518" s="1100" t="s">
        <v>1815</v>
      </c>
      <c r="H1518" s="807" t="s">
        <v>160</v>
      </c>
      <c r="I1518" s="1060">
        <v>185</v>
      </c>
      <c r="J1518" s="1060">
        <f>J1513</f>
        <v>55</v>
      </c>
      <c r="K1518" s="1060">
        <f>I1518*J1518</f>
        <v>10175</v>
      </c>
      <c r="L1518" s="334">
        <v>0</v>
      </c>
      <c r="M1518" s="334">
        <f t="shared" si="120"/>
        <v>10175</v>
      </c>
      <c r="N1518" s="1060">
        <v>0</v>
      </c>
      <c r="O1518" s="1464"/>
      <c r="P1518" s="1464"/>
      <c r="Q1518" s="1646"/>
    </row>
    <row r="1519" spans="1:17" s="382" customFormat="1" ht="30">
      <c r="A1519" s="1835"/>
      <c r="B1519" s="1507"/>
      <c r="C1519" s="1507"/>
      <c r="D1519" s="1504"/>
      <c r="E1519" s="1507"/>
      <c r="F1519" s="1467"/>
      <c r="G1519" s="1100" t="s">
        <v>1816</v>
      </c>
      <c r="H1519" s="807" t="s">
        <v>160</v>
      </c>
      <c r="I1519" s="1060">
        <v>547</v>
      </c>
      <c r="J1519" s="1060">
        <f>J1514</f>
        <v>58</v>
      </c>
      <c r="K1519" s="1060">
        <f t="shared" ref="K1519:K1520" si="122">I1519*J1519</f>
        <v>31726</v>
      </c>
      <c r="L1519" s="334">
        <v>0</v>
      </c>
      <c r="M1519" s="334">
        <f t="shared" ref="M1519:M1522" si="123">K1519</f>
        <v>31726</v>
      </c>
      <c r="N1519" s="1060">
        <v>0</v>
      </c>
      <c r="O1519" s="1464"/>
      <c r="P1519" s="1464"/>
      <c r="Q1519" s="1646"/>
    </row>
    <row r="1520" spans="1:17" s="382" customFormat="1" ht="30">
      <c r="A1520" s="1835"/>
      <c r="B1520" s="1507"/>
      <c r="C1520" s="1507"/>
      <c r="D1520" s="1504"/>
      <c r="E1520" s="1507"/>
      <c r="F1520" s="1468"/>
      <c r="G1520" s="1100" t="s">
        <v>1817</v>
      </c>
      <c r="H1520" s="807" t="s">
        <v>160</v>
      </c>
      <c r="I1520" s="1060">
        <v>1236</v>
      </c>
      <c r="J1520" s="1060">
        <f>J1515</f>
        <v>64</v>
      </c>
      <c r="K1520" s="1060">
        <f t="shared" si="122"/>
        <v>79104</v>
      </c>
      <c r="L1520" s="334">
        <v>0</v>
      </c>
      <c r="M1520" s="334">
        <f t="shared" si="123"/>
        <v>79104</v>
      </c>
      <c r="N1520" s="1060">
        <v>0</v>
      </c>
      <c r="O1520" s="1464"/>
      <c r="P1520" s="1464"/>
      <c r="Q1520" s="1646"/>
    </row>
    <row r="1521" spans="1:17" s="382" customFormat="1" ht="32.25">
      <c r="A1521" s="1835"/>
      <c r="B1521" s="1507"/>
      <c r="C1521" s="1507"/>
      <c r="D1521" s="1504"/>
      <c r="E1521" s="1507"/>
      <c r="F1521" s="1687" t="s">
        <v>279</v>
      </c>
      <c r="G1521" s="1100" t="s">
        <v>1818</v>
      </c>
      <c r="H1521" s="807" t="s">
        <v>280</v>
      </c>
      <c r="I1521" s="1060">
        <v>1</v>
      </c>
      <c r="J1521" s="1060">
        <f>'preturi unitare'!E6+20000</f>
        <v>50000</v>
      </c>
      <c r="K1521" s="1060">
        <f>I1521*J1521</f>
        <v>50000</v>
      </c>
      <c r="L1521" s="334">
        <v>0</v>
      </c>
      <c r="M1521" s="334">
        <f t="shared" si="123"/>
        <v>50000</v>
      </c>
      <c r="N1521" s="1060">
        <v>0</v>
      </c>
      <c r="O1521" s="1464"/>
      <c r="P1521" s="1464"/>
      <c r="Q1521" s="1646"/>
    </row>
    <row r="1522" spans="1:17" s="382" customFormat="1" ht="32.25">
      <c r="A1522" s="1557"/>
      <c r="B1522" s="1508"/>
      <c r="C1522" s="1508"/>
      <c r="D1522" s="1505"/>
      <c r="E1522" s="1508"/>
      <c r="F1522" s="1468"/>
      <c r="G1522" s="1100" t="s">
        <v>1819</v>
      </c>
      <c r="H1522" s="807" t="s">
        <v>280</v>
      </c>
      <c r="I1522" s="1060">
        <v>1</v>
      </c>
      <c r="J1522" s="1060">
        <f>'preturi unitare'!E6+15000</f>
        <v>45000</v>
      </c>
      <c r="K1522" s="1060">
        <f>I1522*J1522</f>
        <v>45000</v>
      </c>
      <c r="L1522" s="334">
        <v>0</v>
      </c>
      <c r="M1522" s="334">
        <f t="shared" si="123"/>
        <v>45000</v>
      </c>
      <c r="N1522" s="1060">
        <v>0</v>
      </c>
      <c r="O1522" s="1465"/>
      <c r="P1522" s="1465"/>
      <c r="Q1522" s="1559"/>
    </row>
    <row r="1523" spans="1:17" s="382" customFormat="1" ht="15" customHeight="1">
      <c r="A1523" s="1101"/>
      <c r="B1523" s="1102"/>
      <c r="C1523" s="1102"/>
      <c r="D1523" s="1102"/>
      <c r="E1523" s="1102"/>
      <c r="F1523" s="1102"/>
      <c r="G1523" s="1102"/>
      <c r="H1523" s="1060"/>
      <c r="I1523" s="1060"/>
      <c r="J1523" s="1060"/>
      <c r="K1523" s="1060"/>
      <c r="L1523" s="334"/>
      <c r="M1523" s="334"/>
      <c r="N1523" s="1060"/>
      <c r="O1523" s="1060"/>
      <c r="P1523" s="1060"/>
      <c r="Q1523" s="644"/>
    </row>
    <row r="1524" spans="1:17" s="382" customFormat="1" ht="15" customHeight="1">
      <c r="A1524" s="1529" t="s">
        <v>1821</v>
      </c>
      <c r="B1524" s="1530"/>
      <c r="C1524" s="1530"/>
      <c r="D1524" s="1530"/>
      <c r="E1524" s="1530"/>
      <c r="F1524" s="1530"/>
      <c r="G1524" s="1531"/>
      <c r="H1524" s="793"/>
      <c r="I1524" s="1060"/>
      <c r="J1524" s="1060"/>
      <c r="K1524" s="364">
        <f>SUM(K1511:K1522)</f>
        <v>440224</v>
      </c>
      <c r="L1524" s="365">
        <f>SUM(L1511:L1522)</f>
        <v>0</v>
      </c>
      <c r="M1524" s="365">
        <f>SUM(M1511:M1522)</f>
        <v>440224</v>
      </c>
      <c r="N1524" s="364">
        <f>SUM(N1511:N1522)</f>
        <v>0</v>
      </c>
      <c r="O1524" s="1060"/>
      <c r="P1524" s="1060"/>
      <c r="Q1524" s="587"/>
    </row>
    <row r="1525" spans="1:17" s="382" customFormat="1" ht="15" customHeight="1" thickBot="1">
      <c r="A1525" s="1103"/>
      <c r="B1525" s="1104"/>
      <c r="C1525" s="1104"/>
      <c r="D1525" s="1104"/>
      <c r="E1525" s="1104"/>
      <c r="F1525" s="1104"/>
      <c r="G1525" s="1104"/>
      <c r="H1525" s="581"/>
      <c r="I1525" s="581"/>
      <c r="J1525" s="581"/>
      <c r="K1525" s="581"/>
      <c r="L1525" s="951"/>
      <c r="M1525" s="951"/>
      <c r="N1525" s="581"/>
      <c r="O1525" s="581"/>
      <c r="P1525" s="581"/>
      <c r="Q1525" s="816"/>
    </row>
    <row r="1526" spans="1:17" s="382" customFormat="1" ht="60.75" customHeight="1">
      <c r="A1526" s="1542" t="s">
        <v>632</v>
      </c>
      <c r="B1526" s="1544" t="s">
        <v>617</v>
      </c>
      <c r="C1526" s="1538" t="s">
        <v>610</v>
      </c>
      <c r="D1526" s="1538" t="s">
        <v>611</v>
      </c>
      <c r="E1526" s="1538" t="s">
        <v>1453</v>
      </c>
      <c r="F1526" s="1472" t="s">
        <v>159</v>
      </c>
      <c r="G1526" s="1509" t="s">
        <v>110</v>
      </c>
      <c r="H1526" s="1477" t="s">
        <v>316</v>
      </c>
      <c r="I1526" s="1472" t="s">
        <v>315</v>
      </c>
      <c r="J1526" s="1472" t="s">
        <v>317</v>
      </c>
      <c r="K1526" s="1472" t="s">
        <v>318</v>
      </c>
      <c r="L1526" s="569" t="s">
        <v>1443</v>
      </c>
      <c r="M1526" s="569" t="s">
        <v>1444</v>
      </c>
      <c r="N1526" s="1061" t="s">
        <v>1445</v>
      </c>
      <c r="O1526" s="1477" t="s">
        <v>1673</v>
      </c>
      <c r="P1526" s="1477" t="s">
        <v>1307</v>
      </c>
      <c r="Q1526" s="1495" t="s">
        <v>1454</v>
      </c>
    </row>
    <row r="1527" spans="1:17" s="382" customFormat="1" ht="15" customHeight="1" thickBot="1">
      <c r="A1527" s="1543"/>
      <c r="B1527" s="1545"/>
      <c r="C1527" s="1539"/>
      <c r="D1527" s="1539"/>
      <c r="E1527" s="1539"/>
      <c r="F1527" s="1473"/>
      <c r="G1527" s="1510"/>
      <c r="H1527" s="1478"/>
      <c r="I1527" s="1473"/>
      <c r="J1527" s="1473"/>
      <c r="K1527" s="1473"/>
      <c r="L1527" s="570" t="s">
        <v>805</v>
      </c>
      <c r="M1527" s="570" t="s">
        <v>805</v>
      </c>
      <c r="N1527" s="1062" t="s">
        <v>1149</v>
      </c>
      <c r="O1527" s="1478"/>
      <c r="P1527" s="1478"/>
      <c r="Q1527" s="1496"/>
    </row>
    <row r="1528" spans="1:17" s="382" customFormat="1" ht="30" customHeight="1">
      <c r="A1528" s="1829" t="s">
        <v>1807</v>
      </c>
      <c r="B1528" s="1704" t="s">
        <v>1451</v>
      </c>
      <c r="C1528" s="1516" t="s">
        <v>1807</v>
      </c>
      <c r="D1528" s="1516">
        <f>D1511</f>
        <v>933</v>
      </c>
      <c r="E1528" s="1516">
        <f>D1528</f>
        <v>933</v>
      </c>
      <c r="F1528" s="1106" t="s">
        <v>323</v>
      </c>
      <c r="G1528" s="329" t="s">
        <v>1822</v>
      </c>
      <c r="H1528" s="1028" t="s">
        <v>280</v>
      </c>
      <c r="I1528" s="1059">
        <v>1</v>
      </c>
      <c r="J1528" s="1059">
        <f>'preturi unitare'!O29</f>
        <v>165500</v>
      </c>
      <c r="K1528" s="1059">
        <f>I1528*J1528</f>
        <v>165500</v>
      </c>
      <c r="L1528" s="939">
        <v>0</v>
      </c>
      <c r="M1528" s="939">
        <v>0</v>
      </c>
      <c r="N1528" s="1059">
        <f>K1528</f>
        <v>165500</v>
      </c>
      <c r="O1528" s="1463">
        <f>SUM(N1528:N1529)</f>
        <v>935500</v>
      </c>
      <c r="P1528" s="1463">
        <f>O1528/E1528</f>
        <v>1002.6795284030011</v>
      </c>
      <c r="Q1528" s="1546" t="s">
        <v>1826</v>
      </c>
    </row>
    <row r="1529" spans="1:17" s="382" customFormat="1" ht="30">
      <c r="A1529" s="1830"/>
      <c r="B1529" s="1826"/>
      <c r="C1529" s="1514"/>
      <c r="D1529" s="1514"/>
      <c r="E1529" s="1514"/>
      <c r="F1529" s="1107" t="s">
        <v>1788</v>
      </c>
      <c r="G1529" s="329" t="s">
        <v>1823</v>
      </c>
      <c r="H1529" s="807" t="s">
        <v>160</v>
      </c>
      <c r="I1529" s="1060">
        <v>5000</v>
      </c>
      <c r="J1529" s="1057">
        <f>'preturi unitare'!H40</f>
        <v>154</v>
      </c>
      <c r="K1529" s="1057">
        <f>I1529*J1529</f>
        <v>770000</v>
      </c>
      <c r="L1529" s="411">
        <v>0</v>
      </c>
      <c r="M1529" s="411">
        <v>0</v>
      </c>
      <c r="N1529" s="1057">
        <f>K1529</f>
        <v>770000</v>
      </c>
      <c r="O1529" s="1465"/>
      <c r="P1529" s="1465"/>
      <c r="Q1529" s="1522"/>
    </row>
    <row r="1530" spans="1:17" s="382" customFormat="1" ht="30">
      <c r="A1530" s="1830"/>
      <c r="B1530" s="1620" t="s">
        <v>1451</v>
      </c>
      <c r="C1530" s="1620" t="s">
        <v>1814</v>
      </c>
      <c r="D1530" s="1513">
        <f>D1517</f>
        <v>575</v>
      </c>
      <c r="E1530" s="1513">
        <f>D1530</f>
        <v>575</v>
      </c>
      <c r="F1530" s="1107" t="s">
        <v>323</v>
      </c>
      <c r="G1530" s="329" t="s">
        <v>1824</v>
      </c>
      <c r="H1530" s="807" t="s">
        <v>280</v>
      </c>
      <c r="I1530" s="1060">
        <v>1</v>
      </c>
      <c r="J1530" s="1057">
        <f>'preturi unitare'!O27</f>
        <v>106500</v>
      </c>
      <c r="K1530" s="1057">
        <f>I1530*J1530</f>
        <v>106500</v>
      </c>
      <c r="L1530" s="411">
        <v>0</v>
      </c>
      <c r="M1530" s="411">
        <v>0</v>
      </c>
      <c r="N1530" s="1057">
        <f>K1530</f>
        <v>106500</v>
      </c>
      <c r="O1530" s="1580">
        <f>SUM(N1530:N1531)</f>
        <v>522300</v>
      </c>
      <c r="P1530" s="1580">
        <f>O1530/E1530</f>
        <v>908.3478260869565</v>
      </c>
      <c r="Q1530" s="1546" t="s">
        <v>1827</v>
      </c>
    </row>
    <row r="1531" spans="1:17" s="382" customFormat="1" ht="30">
      <c r="A1531" s="1831"/>
      <c r="B1531" s="1826"/>
      <c r="C1531" s="1826"/>
      <c r="D1531" s="1505"/>
      <c r="E1531" s="1505"/>
      <c r="F1531" s="1107" t="s">
        <v>1788</v>
      </c>
      <c r="G1531" s="329" t="s">
        <v>1825</v>
      </c>
      <c r="H1531" s="807" t="s">
        <v>160</v>
      </c>
      <c r="I1531" s="1060">
        <v>2700</v>
      </c>
      <c r="J1531" s="1057">
        <f>J1529</f>
        <v>154</v>
      </c>
      <c r="K1531" s="1057">
        <f>I1531*J1531</f>
        <v>415800</v>
      </c>
      <c r="L1531" s="411">
        <v>0</v>
      </c>
      <c r="M1531" s="411">
        <v>0</v>
      </c>
      <c r="N1531" s="1057">
        <f>K1531</f>
        <v>415800</v>
      </c>
      <c r="O1531" s="1465"/>
      <c r="P1531" s="1465"/>
      <c r="Q1531" s="1522"/>
    </row>
    <row r="1532" spans="1:17" s="382" customFormat="1" ht="15" customHeight="1">
      <c r="A1532" s="1108"/>
      <c r="B1532" s="1098"/>
      <c r="C1532" s="1098"/>
      <c r="D1532" s="1098"/>
      <c r="E1532" s="1098"/>
      <c r="F1532" s="1102"/>
      <c r="G1532" s="1102"/>
      <c r="H1532" s="1060"/>
      <c r="I1532" s="1060"/>
      <c r="J1532" s="1060"/>
      <c r="K1532" s="1060"/>
      <c r="L1532" s="334"/>
      <c r="M1532" s="334"/>
      <c r="N1532" s="1060"/>
      <c r="O1532" s="1060"/>
      <c r="P1532" s="1060"/>
      <c r="Q1532" s="1138"/>
    </row>
    <row r="1533" spans="1:17" s="382" customFormat="1" ht="15" customHeight="1">
      <c r="A1533" s="1523" t="s">
        <v>1828</v>
      </c>
      <c r="B1533" s="1524"/>
      <c r="C1533" s="1524"/>
      <c r="D1533" s="1524"/>
      <c r="E1533" s="1524"/>
      <c r="F1533" s="1524"/>
      <c r="G1533" s="1525"/>
      <c r="H1533" s="408"/>
      <c r="I1533" s="408"/>
      <c r="J1533" s="408"/>
      <c r="K1533" s="408">
        <f>SUM(K1528:K1531)</f>
        <v>1457800</v>
      </c>
      <c r="L1533" s="365">
        <f>SUM(L1528:L1531)</f>
        <v>0</v>
      </c>
      <c r="M1533" s="365">
        <f>SUM(M1528:M1531)</f>
        <v>0</v>
      </c>
      <c r="N1533" s="408">
        <f>SUM(N1528:N1531)</f>
        <v>1457800</v>
      </c>
      <c r="O1533" s="389"/>
      <c r="P1533" s="389"/>
      <c r="Q1533" s="988"/>
    </row>
    <row r="1534" spans="1:17" s="382" customFormat="1" ht="15" customHeight="1">
      <c r="A1534" s="820"/>
      <c r="B1534" s="1065"/>
      <c r="C1534" s="1065"/>
      <c r="D1534" s="1067"/>
      <c r="E1534" s="1067"/>
      <c r="F1534" s="1069"/>
      <c r="G1534" s="328"/>
      <c r="H1534" s="1060"/>
      <c r="I1534" s="1060"/>
      <c r="J1534" s="1060"/>
      <c r="K1534" s="1060"/>
      <c r="L1534" s="334"/>
      <c r="M1534" s="334"/>
      <c r="N1534" s="1060"/>
      <c r="O1534" s="1064"/>
      <c r="P1534" s="1064"/>
      <c r="Q1534" s="587"/>
    </row>
    <row r="1535" spans="1:17" s="382" customFormat="1" ht="15" customHeight="1" thickBot="1">
      <c r="A1535" s="1474" t="s">
        <v>1829</v>
      </c>
      <c r="B1535" s="1475"/>
      <c r="C1535" s="1475"/>
      <c r="D1535" s="1475"/>
      <c r="E1535" s="1475"/>
      <c r="F1535" s="1475"/>
      <c r="G1535" s="1476"/>
      <c r="H1535" s="581"/>
      <c r="I1535" s="581"/>
      <c r="J1535" s="581"/>
      <c r="K1535" s="582">
        <f>K1533+K1524</f>
        <v>1898024</v>
      </c>
      <c r="L1535" s="583">
        <f>L1533+L1524</f>
        <v>0</v>
      </c>
      <c r="M1535" s="583">
        <f>M1533+M1524</f>
        <v>440224</v>
      </c>
      <c r="N1535" s="582">
        <f>N1533+N1524</f>
        <v>1457800</v>
      </c>
      <c r="O1535" s="581"/>
      <c r="P1535" s="581"/>
      <c r="Q1535" s="816"/>
    </row>
    <row r="1536" spans="1:17" s="382" customFormat="1" ht="15" customHeight="1" thickBot="1">
      <c r="A1536" s="1090"/>
      <c r="B1536" s="1090"/>
      <c r="C1536" s="1090"/>
      <c r="D1536" s="1090"/>
      <c r="E1536" s="1090"/>
      <c r="F1536" s="1090"/>
      <c r="G1536" s="1091"/>
      <c r="H1536" s="1056"/>
      <c r="I1536" s="1056"/>
      <c r="J1536" s="1056"/>
      <c r="K1536" s="626"/>
      <c r="L1536" s="592"/>
      <c r="M1536" s="592"/>
      <c r="N1536" s="626"/>
      <c r="O1536" s="1056"/>
      <c r="P1536" s="1056"/>
      <c r="Q1536" s="1092"/>
    </row>
    <row r="1537" spans="1:21" s="382" customFormat="1" ht="15" customHeight="1" thickBot="1">
      <c r="A1537" s="859"/>
      <c r="B1537" s="639"/>
      <c r="C1537" s="639"/>
      <c r="D1537" s="1112"/>
      <c r="E1537" s="1112"/>
      <c r="F1537" s="846"/>
      <c r="G1537" s="577" t="s">
        <v>1936</v>
      </c>
      <c r="H1537" s="1072"/>
      <c r="I1537" s="1073"/>
      <c r="J1537" s="641"/>
      <c r="K1537" s="639"/>
      <c r="L1537" s="640"/>
      <c r="M1537" s="640"/>
      <c r="N1537" s="639"/>
      <c r="O1537" s="1112"/>
      <c r="P1537" s="1112"/>
      <c r="Q1537" s="642"/>
    </row>
    <row r="1538" spans="1:21" s="382" customFormat="1" ht="15" customHeight="1" thickBot="1">
      <c r="A1538" s="833"/>
      <c r="B1538" s="355"/>
      <c r="C1538" s="355"/>
      <c r="D1538" s="898"/>
      <c r="E1538" s="898"/>
      <c r="F1538" s="356"/>
      <c r="G1538" s="576"/>
      <c r="H1538" s="358"/>
      <c r="I1538" s="358"/>
      <c r="J1538" s="358"/>
      <c r="K1538" s="358"/>
      <c r="L1538" s="359"/>
      <c r="M1538" s="359"/>
      <c r="N1538" s="358"/>
      <c r="O1538" s="1074"/>
      <c r="P1538" s="1074"/>
      <c r="Q1538" s="857"/>
    </row>
    <row r="1539" spans="1:21" s="382" customFormat="1" ht="67.5" customHeight="1">
      <c r="A1539" s="1562" t="s">
        <v>1452</v>
      </c>
      <c r="B1539" s="1564" t="s">
        <v>676</v>
      </c>
      <c r="C1539" s="1564" t="s">
        <v>610</v>
      </c>
      <c r="D1539" s="1538" t="s">
        <v>611</v>
      </c>
      <c r="E1539" s="1538" t="s">
        <v>1453</v>
      </c>
      <c r="F1539" s="1472" t="s">
        <v>159</v>
      </c>
      <c r="G1539" s="1509" t="s">
        <v>110</v>
      </c>
      <c r="H1539" s="1477" t="s">
        <v>316</v>
      </c>
      <c r="I1539" s="1472" t="s">
        <v>315</v>
      </c>
      <c r="J1539" s="1472" t="s">
        <v>317</v>
      </c>
      <c r="K1539" s="1472" t="s">
        <v>318</v>
      </c>
      <c r="L1539" s="569" t="s">
        <v>1443</v>
      </c>
      <c r="M1539" s="569" t="s">
        <v>1444</v>
      </c>
      <c r="N1539" s="1061" t="s">
        <v>1445</v>
      </c>
      <c r="O1539" s="1477" t="s">
        <v>1673</v>
      </c>
      <c r="P1539" s="1477" t="s">
        <v>1307</v>
      </c>
      <c r="Q1539" s="1495" t="s">
        <v>1454</v>
      </c>
    </row>
    <row r="1540" spans="1:21" s="382" customFormat="1" ht="15" customHeight="1" thickBot="1">
      <c r="A1540" s="1563"/>
      <c r="B1540" s="1565"/>
      <c r="C1540" s="1565"/>
      <c r="D1540" s="1539"/>
      <c r="E1540" s="1539"/>
      <c r="F1540" s="1473"/>
      <c r="G1540" s="1510"/>
      <c r="H1540" s="1478"/>
      <c r="I1540" s="1473"/>
      <c r="J1540" s="1473"/>
      <c r="K1540" s="1473"/>
      <c r="L1540" s="570" t="s">
        <v>805</v>
      </c>
      <c r="M1540" s="570" t="s">
        <v>805</v>
      </c>
      <c r="N1540" s="1062" t="s">
        <v>1149</v>
      </c>
      <c r="O1540" s="1478"/>
      <c r="P1540" s="1478"/>
      <c r="Q1540" s="1496"/>
    </row>
    <row r="1541" spans="1:21" s="382" customFormat="1" ht="30">
      <c r="A1541" s="1834" t="s">
        <v>1830</v>
      </c>
      <c r="B1541" s="1506" t="s">
        <v>1831</v>
      </c>
      <c r="C1541" s="1115" t="s">
        <v>1830</v>
      </c>
      <c r="D1541" s="1088">
        <v>938</v>
      </c>
      <c r="E1541" s="1096" t="s">
        <v>1451</v>
      </c>
      <c r="F1541" s="743" t="s">
        <v>322</v>
      </c>
      <c r="G1541" s="1097" t="s">
        <v>1832</v>
      </c>
      <c r="H1541" s="1028" t="s">
        <v>160</v>
      </c>
      <c r="I1541" s="1059">
        <v>4000</v>
      </c>
      <c r="J1541" s="1059">
        <f>'preturi unitare'!H22</f>
        <v>64</v>
      </c>
      <c r="K1541" s="1059">
        <f>I1541*J1541</f>
        <v>256000</v>
      </c>
      <c r="L1541" s="939">
        <v>0</v>
      </c>
      <c r="M1541" s="939">
        <f>K1541</f>
        <v>256000</v>
      </c>
      <c r="N1541" s="1059">
        <v>0</v>
      </c>
      <c r="O1541" s="1555">
        <f>SUM(M1541:M1542)</f>
        <v>320000</v>
      </c>
      <c r="P1541" s="1555">
        <f>O1541/D1541</f>
        <v>341.15138592750532</v>
      </c>
      <c r="Q1541" s="1497" t="s">
        <v>1836</v>
      </c>
    </row>
    <row r="1542" spans="1:21" s="382" customFormat="1" ht="68.25" customHeight="1">
      <c r="A1542" s="1835"/>
      <c r="B1542" s="1507"/>
      <c r="C1542" s="1099" t="s">
        <v>1833</v>
      </c>
      <c r="D1542" s="1058">
        <v>97</v>
      </c>
      <c r="E1542" s="1099" t="s">
        <v>1451</v>
      </c>
      <c r="F1542" s="1069" t="s">
        <v>322</v>
      </c>
      <c r="G1542" s="1100" t="s">
        <v>1834</v>
      </c>
      <c r="H1542" s="807" t="s">
        <v>160</v>
      </c>
      <c r="I1542" s="1060">
        <v>1000</v>
      </c>
      <c r="J1542" s="1060">
        <f>J1541</f>
        <v>64</v>
      </c>
      <c r="K1542" s="1060">
        <f t="shared" ref="K1542" si="124">I1542*J1542</f>
        <v>64000</v>
      </c>
      <c r="L1542" s="334">
        <v>0</v>
      </c>
      <c r="M1542" s="334">
        <f>K1542</f>
        <v>64000</v>
      </c>
      <c r="N1542" s="1060">
        <v>0</v>
      </c>
      <c r="O1542" s="1482"/>
      <c r="P1542" s="1482"/>
      <c r="Q1542" s="1646"/>
    </row>
    <row r="1543" spans="1:21" s="382" customFormat="1" ht="15" customHeight="1">
      <c r="A1543" s="1139"/>
      <c r="B1543" s="1102"/>
      <c r="C1543" s="1102"/>
      <c r="D1543" s="1102"/>
      <c r="E1543" s="1102"/>
      <c r="F1543" s="1102"/>
      <c r="G1543" s="1102"/>
      <c r="H1543" s="1060"/>
      <c r="I1543" s="1060"/>
      <c r="J1543" s="1060"/>
      <c r="K1543" s="1060"/>
      <c r="L1543" s="334"/>
      <c r="M1543" s="334"/>
      <c r="N1543" s="1060"/>
      <c r="O1543" s="1060"/>
      <c r="P1543" s="1060"/>
      <c r="Q1543" s="644"/>
    </row>
    <row r="1544" spans="1:21" s="382" customFormat="1" ht="15" customHeight="1">
      <c r="A1544" s="1529" t="s">
        <v>1835</v>
      </c>
      <c r="B1544" s="1530"/>
      <c r="C1544" s="1530"/>
      <c r="D1544" s="1530"/>
      <c r="E1544" s="1530"/>
      <c r="F1544" s="1530"/>
      <c r="G1544" s="1531"/>
      <c r="H1544" s="823"/>
      <c r="I1544" s="1087"/>
      <c r="J1544" s="1087"/>
      <c r="K1544" s="575">
        <f>SUM(K1541:K1542)</f>
        <v>320000</v>
      </c>
      <c r="L1544" s="426">
        <f>SUM(L1541:L1542)</f>
        <v>0</v>
      </c>
      <c r="M1544" s="426">
        <f>SUM(M1541:M1542)</f>
        <v>320000</v>
      </c>
      <c r="N1544" s="575">
        <f>SUM(N1541:N1542)</f>
        <v>0</v>
      </c>
      <c r="O1544" s="1087"/>
      <c r="P1544" s="1087"/>
      <c r="Q1544" s="857"/>
    </row>
    <row r="1545" spans="1:21" s="382" customFormat="1" ht="15" customHeight="1">
      <c r="A1545" s="1101"/>
      <c r="B1545" s="1102"/>
      <c r="C1545" s="1102"/>
      <c r="D1545" s="1102"/>
      <c r="E1545" s="1102"/>
      <c r="F1545" s="1102"/>
      <c r="G1545" s="1102"/>
      <c r="H1545" s="1060"/>
      <c r="I1545" s="1060"/>
      <c r="J1545" s="1060"/>
      <c r="K1545" s="1060"/>
      <c r="L1545" s="334"/>
      <c r="M1545" s="334"/>
      <c r="N1545" s="1060"/>
      <c r="O1545" s="1060"/>
      <c r="P1545" s="1060"/>
      <c r="Q1545" s="644"/>
      <c r="R1545" s="1140"/>
      <c r="S1545" s="405"/>
      <c r="T1545" s="405"/>
      <c r="U1545" s="405"/>
    </row>
    <row r="1546" spans="1:21" s="382" customFormat="1" ht="15" customHeight="1" thickBot="1">
      <c r="A1546" s="1526" t="s">
        <v>1837</v>
      </c>
      <c r="B1546" s="1527"/>
      <c r="C1546" s="1527"/>
      <c r="D1546" s="1527"/>
      <c r="E1546" s="1527"/>
      <c r="F1546" s="1527"/>
      <c r="G1546" s="1528"/>
      <c r="H1546" s="581"/>
      <c r="I1546" s="581"/>
      <c r="J1546" s="581"/>
      <c r="K1546" s="582">
        <f>K1544</f>
        <v>320000</v>
      </c>
      <c r="L1546" s="583">
        <f>L1544</f>
        <v>0</v>
      </c>
      <c r="M1546" s="583">
        <f>M1544</f>
        <v>320000</v>
      </c>
      <c r="N1546" s="582">
        <f>N1544</f>
        <v>0</v>
      </c>
      <c r="O1546" s="581"/>
      <c r="P1546" s="581"/>
      <c r="Q1546" s="816"/>
      <c r="R1546" s="1140"/>
      <c r="S1546" s="405"/>
      <c r="T1546" s="405"/>
      <c r="U1546" s="405"/>
    </row>
    <row r="1547" spans="1:21" s="382" customFormat="1" ht="15" customHeight="1" thickBot="1">
      <c r="A1547" s="1141"/>
      <c r="B1547" s="1141"/>
      <c r="C1547" s="1141"/>
      <c r="D1547" s="1141"/>
      <c r="E1547" s="1141"/>
      <c r="F1547" s="1141"/>
      <c r="G1547" s="1141"/>
      <c r="H1547" s="1057"/>
      <c r="I1547" s="1057"/>
      <c r="J1547" s="1057"/>
      <c r="K1547" s="1142"/>
      <c r="L1547" s="427"/>
      <c r="M1547" s="427"/>
      <c r="N1547" s="1142"/>
      <c r="O1547" s="1057"/>
      <c r="P1547" s="1057"/>
      <c r="Q1547" s="941"/>
      <c r="R1547" s="405"/>
      <c r="S1547" s="405"/>
      <c r="T1547" s="405"/>
      <c r="U1547" s="405"/>
    </row>
    <row r="1548" spans="1:21" s="382" customFormat="1" ht="15" customHeight="1" thickBot="1">
      <c r="A1548" s="859"/>
      <c r="B1548" s="639"/>
      <c r="C1548" s="639"/>
      <c r="D1548" s="1112"/>
      <c r="E1548" s="1112"/>
      <c r="F1548" s="846"/>
      <c r="G1548" s="577" t="s">
        <v>1937</v>
      </c>
      <c r="H1548" s="1072"/>
      <c r="I1548" s="1073"/>
      <c r="J1548" s="641"/>
      <c r="K1548" s="639"/>
      <c r="L1548" s="640"/>
      <c r="M1548" s="640"/>
      <c r="N1548" s="639"/>
      <c r="O1548" s="1112"/>
      <c r="P1548" s="1112"/>
      <c r="Q1548" s="642"/>
      <c r="R1548" s="405"/>
      <c r="S1548" s="405"/>
      <c r="T1548" s="405"/>
      <c r="U1548" s="405"/>
    </row>
    <row r="1549" spans="1:21" s="382" customFormat="1" ht="15" customHeight="1" thickBot="1">
      <c r="A1549" s="833"/>
      <c r="B1549" s="355"/>
      <c r="C1549" s="355"/>
      <c r="D1549" s="898"/>
      <c r="E1549" s="898"/>
      <c r="F1549" s="356"/>
      <c r="G1549" s="576"/>
      <c r="H1549" s="358"/>
      <c r="I1549" s="358"/>
      <c r="J1549" s="358"/>
      <c r="K1549" s="358"/>
      <c r="L1549" s="359"/>
      <c r="M1549" s="359"/>
      <c r="N1549" s="358"/>
      <c r="O1549" s="1074"/>
      <c r="P1549" s="1074"/>
      <c r="Q1549" s="857"/>
      <c r="R1549" s="405"/>
      <c r="S1549" s="405"/>
      <c r="T1549" s="405"/>
      <c r="U1549" s="405"/>
    </row>
    <row r="1550" spans="1:21" s="382" customFormat="1" ht="72" customHeight="1">
      <c r="A1550" s="1562" t="s">
        <v>1452</v>
      </c>
      <c r="B1550" s="1564" t="s">
        <v>676</v>
      </c>
      <c r="C1550" s="1564" t="s">
        <v>610</v>
      </c>
      <c r="D1550" s="1538" t="s">
        <v>611</v>
      </c>
      <c r="E1550" s="1538" t="s">
        <v>1453</v>
      </c>
      <c r="F1550" s="1472" t="s">
        <v>159</v>
      </c>
      <c r="G1550" s="1509" t="s">
        <v>110</v>
      </c>
      <c r="H1550" s="1477" t="s">
        <v>316</v>
      </c>
      <c r="I1550" s="1472" t="s">
        <v>315</v>
      </c>
      <c r="J1550" s="1472" t="s">
        <v>317</v>
      </c>
      <c r="K1550" s="1472" t="s">
        <v>318</v>
      </c>
      <c r="L1550" s="569" t="s">
        <v>1443</v>
      </c>
      <c r="M1550" s="569" t="s">
        <v>1444</v>
      </c>
      <c r="N1550" s="1061" t="s">
        <v>1445</v>
      </c>
      <c r="O1550" s="1477" t="s">
        <v>1673</v>
      </c>
      <c r="P1550" s="1477" t="s">
        <v>1307</v>
      </c>
      <c r="Q1550" s="1495" t="s">
        <v>1454</v>
      </c>
    </row>
    <row r="1551" spans="1:21" s="382" customFormat="1" ht="15" customHeight="1" thickBot="1">
      <c r="A1551" s="1563"/>
      <c r="B1551" s="1565"/>
      <c r="C1551" s="1565"/>
      <c r="D1551" s="1539"/>
      <c r="E1551" s="1539"/>
      <c r="F1551" s="1473"/>
      <c r="G1551" s="1510"/>
      <c r="H1551" s="1478"/>
      <c r="I1551" s="1473"/>
      <c r="J1551" s="1473"/>
      <c r="K1551" s="1473"/>
      <c r="L1551" s="570" t="s">
        <v>805</v>
      </c>
      <c r="M1551" s="570" t="s">
        <v>805</v>
      </c>
      <c r="N1551" s="1062" t="s">
        <v>1149</v>
      </c>
      <c r="O1551" s="1478"/>
      <c r="P1551" s="1478"/>
      <c r="Q1551" s="1496"/>
    </row>
    <row r="1552" spans="1:21" s="382" customFormat="1" ht="30">
      <c r="A1552" s="1834" t="s">
        <v>1838</v>
      </c>
      <c r="B1552" s="1506" t="s">
        <v>1831</v>
      </c>
      <c r="C1552" s="1115" t="s">
        <v>1838</v>
      </c>
      <c r="D1552" s="1088">
        <v>854</v>
      </c>
      <c r="E1552" s="1096" t="s">
        <v>1451</v>
      </c>
      <c r="F1552" s="743" t="s">
        <v>322</v>
      </c>
      <c r="G1552" s="1100" t="s">
        <v>1839</v>
      </c>
      <c r="H1552" s="807" t="s">
        <v>160</v>
      </c>
      <c r="I1552" s="1059">
        <v>5000</v>
      </c>
      <c r="J1552" s="1059">
        <f>'preturi unitare'!H22</f>
        <v>64</v>
      </c>
      <c r="K1552" s="1059">
        <f>I1552*J1552</f>
        <v>320000</v>
      </c>
      <c r="L1552" s="939">
        <v>0</v>
      </c>
      <c r="M1552" s="939">
        <f>K1552</f>
        <v>320000</v>
      </c>
      <c r="N1552" s="1059">
        <v>0</v>
      </c>
      <c r="O1552" s="1059">
        <f>M1552</f>
        <v>320000</v>
      </c>
      <c r="P1552" s="1059">
        <f>O1552/D1552</f>
        <v>374.70725995316161</v>
      </c>
      <c r="Q1552" s="1497" t="s">
        <v>1845</v>
      </c>
    </row>
    <row r="1553" spans="1:17" s="382" customFormat="1" ht="30">
      <c r="A1553" s="1835"/>
      <c r="B1553" s="1507"/>
      <c r="C1553" s="1099" t="s">
        <v>1840</v>
      </c>
      <c r="D1553" s="1058">
        <v>429</v>
      </c>
      <c r="E1553" s="1099" t="s">
        <v>1451</v>
      </c>
      <c r="F1553" s="1069" t="s">
        <v>322</v>
      </c>
      <c r="G1553" s="1100" t="s">
        <v>1841</v>
      </c>
      <c r="H1553" s="807" t="s">
        <v>160</v>
      </c>
      <c r="I1553" s="1060">
        <v>3000</v>
      </c>
      <c r="J1553" s="1060">
        <f>J1552</f>
        <v>64</v>
      </c>
      <c r="K1553" s="1060">
        <f>I1553*J1553</f>
        <v>192000</v>
      </c>
      <c r="L1553" s="334">
        <v>0</v>
      </c>
      <c r="M1553" s="334">
        <f>K1553</f>
        <v>192000</v>
      </c>
      <c r="N1553" s="1060">
        <v>0</v>
      </c>
      <c r="O1553" s="1060">
        <f>M1553</f>
        <v>192000</v>
      </c>
      <c r="P1553" s="1060">
        <f t="shared" ref="P1553:P1554" si="125">O1553/D1553</f>
        <v>447.55244755244757</v>
      </c>
      <c r="Q1553" s="1646"/>
    </row>
    <row r="1554" spans="1:17" s="382" customFormat="1" ht="30">
      <c r="A1554" s="1835"/>
      <c r="B1554" s="1507"/>
      <c r="C1554" s="1099" t="s">
        <v>1842</v>
      </c>
      <c r="D1554" s="1058">
        <v>249</v>
      </c>
      <c r="E1554" s="1099" t="s">
        <v>1451</v>
      </c>
      <c r="F1554" s="1069" t="s">
        <v>322</v>
      </c>
      <c r="G1554" s="1100" t="s">
        <v>1843</v>
      </c>
      <c r="H1554" s="807" t="s">
        <v>160</v>
      </c>
      <c r="I1554" s="1060">
        <v>3000</v>
      </c>
      <c r="J1554" s="1060">
        <f>J1553</f>
        <v>64</v>
      </c>
      <c r="K1554" s="1060">
        <f t="shared" ref="K1554" si="126">I1554*J1554</f>
        <v>192000</v>
      </c>
      <c r="L1554" s="334">
        <v>0</v>
      </c>
      <c r="M1554" s="334">
        <f>K1554</f>
        <v>192000</v>
      </c>
      <c r="N1554" s="1060">
        <v>0</v>
      </c>
      <c r="O1554" s="1060">
        <f>M1554</f>
        <v>192000</v>
      </c>
      <c r="P1554" s="1060">
        <f t="shared" si="125"/>
        <v>771.08433734939763</v>
      </c>
      <c r="Q1554" s="1646"/>
    </row>
    <row r="1555" spans="1:17" s="382" customFormat="1" ht="15" customHeight="1">
      <c r="A1555" s="1101"/>
      <c r="B1555" s="1102"/>
      <c r="C1555" s="1102"/>
      <c r="D1555" s="1102"/>
      <c r="E1555" s="1102"/>
      <c r="F1555" s="1102"/>
      <c r="G1555" s="1102"/>
      <c r="H1555" s="1060"/>
      <c r="I1555" s="1060"/>
      <c r="J1555" s="1060"/>
      <c r="K1555" s="1060"/>
      <c r="L1555" s="334"/>
      <c r="M1555" s="334"/>
      <c r="N1555" s="1060"/>
      <c r="O1555" s="1060"/>
      <c r="P1555" s="1060"/>
      <c r="Q1555" s="644"/>
    </row>
    <row r="1556" spans="1:17" s="382" customFormat="1" ht="15" customHeight="1">
      <c r="A1556" s="1529" t="s">
        <v>1844</v>
      </c>
      <c r="B1556" s="1530"/>
      <c r="C1556" s="1530"/>
      <c r="D1556" s="1530"/>
      <c r="E1556" s="1530"/>
      <c r="F1556" s="1530"/>
      <c r="G1556" s="1531"/>
      <c r="H1556" s="793"/>
      <c r="I1556" s="1060"/>
      <c r="J1556" s="1060"/>
      <c r="K1556" s="364">
        <f>SUM(K1552:K1554)</f>
        <v>704000</v>
      </c>
      <c r="L1556" s="365">
        <f>SUM(L1552:L1554)</f>
        <v>0</v>
      </c>
      <c r="M1556" s="365">
        <f>SUM(M1552:M1554)</f>
        <v>704000</v>
      </c>
      <c r="N1556" s="364">
        <f>SUM(N1552:N1554)</f>
        <v>0</v>
      </c>
      <c r="O1556" s="1060"/>
      <c r="P1556" s="1060"/>
      <c r="Q1556" s="587"/>
    </row>
    <row r="1557" spans="1:17" s="382" customFormat="1" ht="15" customHeight="1" thickBot="1">
      <c r="A1557" s="1103"/>
      <c r="B1557" s="1104"/>
      <c r="C1557" s="1104"/>
      <c r="D1557" s="1104"/>
      <c r="E1557" s="1104"/>
      <c r="F1557" s="1104"/>
      <c r="G1557" s="1104"/>
      <c r="H1557" s="581"/>
      <c r="I1557" s="581"/>
      <c r="J1557" s="581"/>
      <c r="K1557" s="581"/>
      <c r="L1557" s="951"/>
      <c r="M1557" s="951"/>
      <c r="N1557" s="581"/>
      <c r="O1557" s="581"/>
      <c r="P1557" s="581"/>
      <c r="Q1557" s="816"/>
    </row>
    <row r="1558" spans="1:17" s="382" customFormat="1" ht="63" customHeight="1">
      <c r="A1558" s="1542" t="s">
        <v>632</v>
      </c>
      <c r="B1558" s="1544" t="s">
        <v>617</v>
      </c>
      <c r="C1558" s="1538" t="s">
        <v>610</v>
      </c>
      <c r="D1558" s="1538" t="s">
        <v>611</v>
      </c>
      <c r="E1558" s="1538" t="s">
        <v>1453</v>
      </c>
      <c r="F1558" s="1472" t="s">
        <v>159</v>
      </c>
      <c r="G1558" s="1509" t="s">
        <v>110</v>
      </c>
      <c r="H1558" s="1477" t="s">
        <v>316</v>
      </c>
      <c r="I1558" s="1472" t="s">
        <v>315</v>
      </c>
      <c r="J1558" s="1472" t="s">
        <v>317</v>
      </c>
      <c r="K1558" s="1472" t="s">
        <v>318</v>
      </c>
      <c r="L1558" s="569" t="s">
        <v>1443</v>
      </c>
      <c r="M1558" s="569" t="s">
        <v>1444</v>
      </c>
      <c r="N1558" s="1061" t="s">
        <v>1445</v>
      </c>
      <c r="O1558" s="1477" t="s">
        <v>1673</v>
      </c>
      <c r="P1558" s="1477" t="s">
        <v>1307</v>
      </c>
      <c r="Q1558" s="1495" t="s">
        <v>1454</v>
      </c>
    </row>
    <row r="1559" spans="1:17" s="382" customFormat="1" ht="15" customHeight="1" thickBot="1">
      <c r="A1559" s="1543"/>
      <c r="B1559" s="1545"/>
      <c r="C1559" s="1539"/>
      <c r="D1559" s="1539"/>
      <c r="E1559" s="1539"/>
      <c r="F1559" s="1473"/>
      <c r="G1559" s="1510"/>
      <c r="H1559" s="1478"/>
      <c r="I1559" s="1473"/>
      <c r="J1559" s="1473"/>
      <c r="K1559" s="1473"/>
      <c r="L1559" s="570" t="s">
        <v>805</v>
      </c>
      <c r="M1559" s="570" t="s">
        <v>805</v>
      </c>
      <c r="N1559" s="1062" t="s">
        <v>1149</v>
      </c>
      <c r="O1559" s="1478"/>
      <c r="P1559" s="1478"/>
      <c r="Q1559" s="1496"/>
    </row>
    <row r="1560" spans="1:17" s="382" customFormat="1" ht="30">
      <c r="A1560" s="1829" t="s">
        <v>1838</v>
      </c>
      <c r="B1560" s="1704" t="s">
        <v>1451</v>
      </c>
      <c r="C1560" s="1540" t="s">
        <v>1838</v>
      </c>
      <c r="D1560" s="1516">
        <f>D1552</f>
        <v>854</v>
      </c>
      <c r="E1560" s="1516">
        <f>D1560</f>
        <v>854</v>
      </c>
      <c r="F1560" s="1106" t="s">
        <v>323</v>
      </c>
      <c r="G1560" s="329" t="s">
        <v>1822</v>
      </c>
      <c r="H1560" s="1028" t="s">
        <v>280</v>
      </c>
      <c r="I1560" s="1059">
        <v>1</v>
      </c>
      <c r="J1560" s="1059">
        <f>'preturi unitare'!O29</f>
        <v>165500</v>
      </c>
      <c r="K1560" s="1059">
        <f t="shared" ref="K1560:K1566" si="127">I1560*J1560</f>
        <v>165500</v>
      </c>
      <c r="L1560" s="939">
        <v>0</v>
      </c>
      <c r="M1560" s="939">
        <v>0</v>
      </c>
      <c r="N1560" s="1059">
        <f t="shared" ref="N1560:N1566" si="128">K1560</f>
        <v>165500</v>
      </c>
      <c r="O1560" s="1463">
        <f>SUM(N1560:N1561)</f>
        <v>1551500</v>
      </c>
      <c r="P1560" s="1463">
        <f>O1560/E1560</f>
        <v>1816.7447306791569</v>
      </c>
      <c r="Q1560" s="1836" t="s">
        <v>1854</v>
      </c>
    </row>
    <row r="1561" spans="1:17" s="382" customFormat="1" ht="30">
      <c r="A1561" s="1830"/>
      <c r="B1561" s="1826"/>
      <c r="C1561" s="1514"/>
      <c r="D1561" s="1514"/>
      <c r="E1561" s="1514"/>
      <c r="F1561" s="1107" t="s">
        <v>1788</v>
      </c>
      <c r="G1561" s="329" t="s">
        <v>1846</v>
      </c>
      <c r="H1561" s="807" t="s">
        <v>160</v>
      </c>
      <c r="I1561" s="1060">
        <v>9000</v>
      </c>
      <c r="J1561" s="1057">
        <f>'preturi unitare'!H40</f>
        <v>154</v>
      </c>
      <c r="K1561" s="1057">
        <f t="shared" si="127"/>
        <v>1386000</v>
      </c>
      <c r="L1561" s="411">
        <v>0</v>
      </c>
      <c r="M1561" s="411">
        <v>0</v>
      </c>
      <c r="N1561" s="1057">
        <f t="shared" si="128"/>
        <v>1386000</v>
      </c>
      <c r="O1561" s="1465"/>
      <c r="P1561" s="1465"/>
      <c r="Q1561" s="1837"/>
    </row>
    <row r="1562" spans="1:17" s="382" customFormat="1" ht="30" customHeight="1">
      <c r="A1562" s="1830"/>
      <c r="B1562" s="1620" t="s">
        <v>1451</v>
      </c>
      <c r="C1562" s="1077" t="s">
        <v>1847</v>
      </c>
      <c r="D1562" s="1058">
        <v>137</v>
      </c>
      <c r="E1562" s="1058">
        <f>D1562</f>
        <v>137</v>
      </c>
      <c r="F1562" s="1107" t="s">
        <v>323</v>
      </c>
      <c r="G1562" s="329" t="s">
        <v>1848</v>
      </c>
      <c r="H1562" s="807" t="s">
        <v>1322</v>
      </c>
      <c r="I1562" s="1060">
        <v>1</v>
      </c>
      <c r="J1562" s="1060">
        <f>'preturi unitare'!N4</f>
        <v>70000</v>
      </c>
      <c r="K1562" s="1060">
        <f t="shared" si="127"/>
        <v>70000</v>
      </c>
      <c r="L1562" s="334">
        <v>0</v>
      </c>
      <c r="M1562" s="334">
        <v>0</v>
      </c>
      <c r="N1562" s="1060">
        <f t="shared" si="128"/>
        <v>70000</v>
      </c>
      <c r="O1562" s="1060">
        <f>N1562</f>
        <v>70000</v>
      </c>
      <c r="P1562" s="1060">
        <f>O1562/E1562</f>
        <v>510.94890510948903</v>
      </c>
      <c r="Q1562" s="989" t="s">
        <v>1855</v>
      </c>
    </row>
    <row r="1563" spans="1:17" s="382" customFormat="1" ht="45">
      <c r="A1563" s="1830"/>
      <c r="B1563" s="1725"/>
      <c r="C1563" s="1077" t="s">
        <v>1842</v>
      </c>
      <c r="D1563" s="1058">
        <v>249</v>
      </c>
      <c r="E1563" s="1058">
        <f>D1563</f>
        <v>249</v>
      </c>
      <c r="F1563" s="1107" t="s">
        <v>323</v>
      </c>
      <c r="G1563" s="329" t="s">
        <v>1849</v>
      </c>
      <c r="H1563" s="807" t="s">
        <v>1322</v>
      </c>
      <c r="I1563" s="1060">
        <v>1</v>
      </c>
      <c r="J1563" s="1060">
        <f>J1562</f>
        <v>70000</v>
      </c>
      <c r="K1563" s="1060">
        <f t="shared" si="127"/>
        <v>70000</v>
      </c>
      <c r="L1563" s="334">
        <v>0</v>
      </c>
      <c r="M1563" s="334">
        <v>0</v>
      </c>
      <c r="N1563" s="1060">
        <f t="shared" si="128"/>
        <v>70000</v>
      </c>
      <c r="O1563" s="1060">
        <f>N1563</f>
        <v>70000</v>
      </c>
      <c r="P1563" s="1060">
        <f>O1563/D1563</f>
        <v>281.12449799196787</v>
      </c>
      <c r="Q1563" s="989" t="s">
        <v>1856</v>
      </c>
    </row>
    <row r="1564" spans="1:17" s="382" customFormat="1" ht="45">
      <c r="A1564" s="1830"/>
      <c r="B1564" s="1725"/>
      <c r="C1564" s="1077" t="s">
        <v>1850</v>
      </c>
      <c r="D1564" s="1058">
        <v>190</v>
      </c>
      <c r="E1564" s="1058">
        <f>D1564</f>
        <v>190</v>
      </c>
      <c r="F1564" s="1107" t="s">
        <v>323</v>
      </c>
      <c r="G1564" s="329" t="s">
        <v>1851</v>
      </c>
      <c r="H1564" s="807" t="s">
        <v>1322</v>
      </c>
      <c r="I1564" s="1060">
        <v>1</v>
      </c>
      <c r="J1564" s="1060">
        <f>J1563</f>
        <v>70000</v>
      </c>
      <c r="K1564" s="1060">
        <f t="shared" si="127"/>
        <v>70000</v>
      </c>
      <c r="L1564" s="334">
        <v>0</v>
      </c>
      <c r="M1564" s="334">
        <v>0</v>
      </c>
      <c r="N1564" s="1060">
        <f t="shared" si="128"/>
        <v>70000</v>
      </c>
      <c r="O1564" s="1060">
        <f>N1564</f>
        <v>70000</v>
      </c>
      <c r="P1564" s="1060">
        <f>O1564/E1564</f>
        <v>368.42105263157896</v>
      </c>
      <c r="Q1564" s="989" t="s">
        <v>1857</v>
      </c>
    </row>
    <row r="1565" spans="1:17" s="382" customFormat="1" ht="30">
      <c r="A1565" s="1830"/>
      <c r="B1565" s="1725"/>
      <c r="C1565" s="1620" t="s">
        <v>1840</v>
      </c>
      <c r="D1565" s="1513">
        <v>429</v>
      </c>
      <c r="E1565" s="1513">
        <f>D1565</f>
        <v>429</v>
      </c>
      <c r="F1565" s="1107" t="s">
        <v>323</v>
      </c>
      <c r="G1565" s="329" t="s">
        <v>1852</v>
      </c>
      <c r="H1565" s="807" t="s">
        <v>280</v>
      </c>
      <c r="I1565" s="1060">
        <v>1</v>
      </c>
      <c r="J1565" s="1060">
        <v>93000</v>
      </c>
      <c r="K1565" s="1060">
        <f t="shared" si="127"/>
        <v>93000</v>
      </c>
      <c r="L1565" s="334">
        <v>0</v>
      </c>
      <c r="M1565" s="334">
        <v>0</v>
      </c>
      <c r="N1565" s="1060">
        <f t="shared" si="128"/>
        <v>93000</v>
      </c>
      <c r="O1565" s="1580">
        <f>SUM(N1565:N1566)</f>
        <v>786000</v>
      </c>
      <c r="P1565" s="1580">
        <f>O1565/E1565</f>
        <v>1832.1678321678321</v>
      </c>
      <c r="Q1565" s="1838" t="s">
        <v>1858</v>
      </c>
    </row>
    <row r="1566" spans="1:17" s="382" customFormat="1" ht="30">
      <c r="A1566" s="1830"/>
      <c r="B1566" s="1725"/>
      <c r="C1566" s="1826"/>
      <c r="D1566" s="1505"/>
      <c r="E1566" s="1505"/>
      <c r="F1566" s="1107" t="s">
        <v>1788</v>
      </c>
      <c r="G1566" s="329" t="s">
        <v>1853</v>
      </c>
      <c r="H1566" s="807" t="s">
        <v>160</v>
      </c>
      <c r="I1566" s="1060">
        <v>4500</v>
      </c>
      <c r="J1566" s="1060">
        <f>'preturi unitare'!H40</f>
        <v>154</v>
      </c>
      <c r="K1566" s="1060">
        <f t="shared" si="127"/>
        <v>693000</v>
      </c>
      <c r="L1566" s="334">
        <v>0</v>
      </c>
      <c r="M1566" s="334">
        <v>0</v>
      </c>
      <c r="N1566" s="1060">
        <f t="shared" si="128"/>
        <v>693000</v>
      </c>
      <c r="O1566" s="1465"/>
      <c r="P1566" s="1465"/>
      <c r="Q1566" s="1838"/>
    </row>
    <row r="1567" spans="1:17" s="382" customFormat="1" ht="15" customHeight="1">
      <c r="A1567" s="1108"/>
      <c r="B1567" s="1098"/>
      <c r="C1567" s="1098"/>
      <c r="D1567" s="1098"/>
      <c r="E1567" s="1098"/>
      <c r="F1567" s="1102"/>
      <c r="G1567" s="1102"/>
      <c r="H1567" s="1060"/>
      <c r="I1567" s="1060"/>
      <c r="J1567" s="1060"/>
      <c r="K1567" s="1060"/>
      <c r="L1567" s="334"/>
      <c r="M1567" s="334"/>
      <c r="N1567" s="1060"/>
      <c r="O1567" s="1060"/>
      <c r="P1567" s="1060"/>
      <c r="Q1567" s="990"/>
    </row>
    <row r="1568" spans="1:17" s="382" customFormat="1" ht="15" customHeight="1">
      <c r="A1568" s="1523" t="s">
        <v>1859</v>
      </c>
      <c r="B1568" s="1524"/>
      <c r="C1568" s="1524"/>
      <c r="D1568" s="1524"/>
      <c r="E1568" s="1524"/>
      <c r="F1568" s="1524"/>
      <c r="G1568" s="1525"/>
      <c r="H1568" s="408"/>
      <c r="I1568" s="408"/>
      <c r="J1568" s="408"/>
      <c r="K1568" s="408">
        <f>SUM(K1560:K1566)</f>
        <v>2547500</v>
      </c>
      <c r="L1568" s="365">
        <f>SUM(L1560:L1566)</f>
        <v>0</v>
      </c>
      <c r="M1568" s="365">
        <f>SUM(M1560:M1566)</f>
        <v>0</v>
      </c>
      <c r="N1568" s="408">
        <f>SUM(N1560:N1566)</f>
        <v>2547500</v>
      </c>
      <c r="O1568" s="389"/>
      <c r="P1568" s="389"/>
      <c r="Q1568" s="990"/>
    </row>
    <row r="1569" spans="1:17" s="382" customFormat="1" ht="15" customHeight="1">
      <c r="A1569" s="820"/>
      <c r="B1569" s="1065"/>
      <c r="C1569" s="1065"/>
      <c r="D1569" s="1067"/>
      <c r="E1569" s="1067"/>
      <c r="F1569" s="1069"/>
      <c r="G1569" s="328"/>
      <c r="H1569" s="1060"/>
      <c r="I1569" s="1060"/>
      <c r="J1569" s="1060"/>
      <c r="K1569" s="1060"/>
      <c r="L1569" s="334"/>
      <c r="M1569" s="334"/>
      <c r="N1569" s="1060"/>
      <c r="O1569" s="1064"/>
      <c r="P1569" s="1064"/>
      <c r="Q1569" s="587"/>
    </row>
    <row r="1570" spans="1:17" s="382" customFormat="1" ht="15" customHeight="1" thickBot="1">
      <c r="A1570" s="1474" t="s">
        <v>1860</v>
      </c>
      <c r="B1570" s="1475"/>
      <c r="C1570" s="1475"/>
      <c r="D1570" s="1475"/>
      <c r="E1570" s="1475"/>
      <c r="F1570" s="1475"/>
      <c r="G1570" s="1476"/>
      <c r="H1570" s="581"/>
      <c r="I1570" s="581"/>
      <c r="J1570" s="581"/>
      <c r="K1570" s="582">
        <f>K1568+K1556</f>
        <v>3251500</v>
      </c>
      <c r="L1570" s="583">
        <f>L1568+L1556</f>
        <v>0</v>
      </c>
      <c r="M1570" s="583">
        <f>M1568+M1556</f>
        <v>704000</v>
      </c>
      <c r="N1570" s="582">
        <f>N1568+N1556</f>
        <v>2547500</v>
      </c>
      <c r="O1570" s="581"/>
      <c r="P1570" s="581"/>
      <c r="Q1570" s="816"/>
    </row>
    <row r="1571" spans="1:17" s="382" customFormat="1" ht="15" customHeight="1">
      <c r="A1571" s="1164"/>
      <c r="B1571" s="1164"/>
      <c r="C1571" s="1164"/>
      <c r="D1571" s="1164"/>
      <c r="E1571" s="1164"/>
      <c r="F1571" s="1164"/>
      <c r="G1571" s="1164"/>
      <c r="H1571" s="1165"/>
      <c r="I1571" s="1165"/>
      <c r="J1571" s="1165"/>
      <c r="K1571" s="1166"/>
      <c r="L1571" s="1167"/>
      <c r="M1571" s="1167"/>
      <c r="N1571" s="1166"/>
      <c r="O1571" s="1165"/>
      <c r="P1571" s="1165"/>
      <c r="Q1571" s="1168"/>
    </row>
    <row r="1572" spans="1:17" s="382" customFormat="1" ht="15" customHeight="1" thickBot="1">
      <c r="A1572" s="1169"/>
      <c r="B1572" s="1170"/>
      <c r="C1572" s="1170"/>
      <c r="D1572" s="1170"/>
      <c r="E1572" s="1170"/>
      <c r="F1572" s="1170"/>
      <c r="G1572" s="1170"/>
      <c r="H1572" s="1171"/>
      <c r="I1572" s="1171"/>
      <c r="J1572" s="1171"/>
      <c r="K1572" s="1172"/>
      <c r="L1572" s="1173"/>
      <c r="M1572" s="1173"/>
      <c r="N1572" s="1172"/>
      <c r="O1572" s="1171"/>
      <c r="P1572" s="1171"/>
      <c r="Q1572" s="1169"/>
    </row>
    <row r="1573" spans="1:17">
      <c r="A1573" s="1814" t="s">
        <v>589</v>
      </c>
      <c r="B1573" s="1815"/>
      <c r="C1573" s="1815"/>
      <c r="D1573" s="1815"/>
      <c r="E1573" s="1815"/>
      <c r="F1573" s="1815"/>
      <c r="G1573" s="1816"/>
      <c r="H1573" s="963"/>
      <c r="I1573" s="963"/>
      <c r="J1573" s="963"/>
      <c r="K1573" s="964">
        <f>K18+K46+K74+K107+K142+K195+K235+K268+K311+K364+K394+K420+K448+K496+K557+K604+K621+K638+K671+K690+K709+K735+K764+K789+K832+K853+K890+K935+K957+K972+K989+K1024+K1042+K1074+K1096+K1121+K1140+K1157+K1177+K1195+K1217+K1242+K1281+K1314+K1363+K1399+K1432+K1455+K1476+K1497+K1524+K1544+K1556</f>
        <v>107737021</v>
      </c>
      <c r="L1573" s="920">
        <f>L18+L46+L74+L107+L142+L195+L235+L268+L311+L364+L394+L420+L448+L496+L557+L604+L621+L638+L671+L690+L709+L735+L764+L789+L832+L853+L890+L935+L957+L972+L989+L1024+L1042+L1074+L1096+L1121+L1140+L1157+L1177+L1195+L1217+L1242+L1281+L1314+L1363+L1399+L1432+L1455+L1476+L1497+L1524+L1544+L1556</f>
        <v>91101399</v>
      </c>
      <c r="M1573" s="920">
        <f>M18+M46+M74+M107+M142+M195+M235+M268+M311+M364+M394+M420+M448+M496+M557+M604+M621+M638+M671+M690+M709+M735+M764+M789+M832+M853+M890+M935+M957+M972+M989+M1024+M1042+M1074+M1096+M1121+M1140+M1157+M1177+M1195+M1217+M1242+M1281+M1314+M1363+M1399+M1432+M1455+M1476+M1497+M1524+M1544+M1556</f>
        <v>9824122</v>
      </c>
      <c r="N1573" s="964">
        <f>N496+N671+N832</f>
        <v>6811500</v>
      </c>
      <c r="O1573" s="965"/>
      <c r="P1573" s="965"/>
      <c r="Q1573" s="642"/>
    </row>
    <row r="1574" spans="1:17">
      <c r="A1574" s="1808" t="s">
        <v>590</v>
      </c>
      <c r="B1574" s="1809"/>
      <c r="C1574" s="1809"/>
      <c r="D1574" s="1809"/>
      <c r="E1574" s="1809"/>
      <c r="F1574" s="1809"/>
      <c r="G1574" s="1810"/>
      <c r="H1574" s="579"/>
      <c r="I1574" s="579"/>
      <c r="J1574" s="579"/>
      <c r="K1574" s="408">
        <f>K29+K56+K84+K121+K159+K213+K243+K285+K324+K342+K377+K404+K430+K459+K523+K540+K568+K592+K610+K645+K679+K699+K715+K753+K799+K771+K843+K875+K906+K921+K945+K978+K1001+K1012+K1032+K1064+K1080+K1109+K1130+K1146+K1163+K1185+K1201+K1229+K1261+K1271+K1288+K1330+K1348+K1375+K1413+K1444+K1463+K1486+K1503+K1533+K1568+K580</f>
        <v>153232138.91999999</v>
      </c>
      <c r="L1574" s="365">
        <f>L29+L56+L84+L121+L159+L213+L243+L285+L324+L342+L377+L404+L430+L459+L523+L540+L568+L592+L610+L645+L679+L699+L715+L753+L771+L799+L843+L875+L906+L921+L945+L978+L1001+L1012+L1032+L1064+L1080+L1109+L1130+L1146+L1163+L1185+L1201+L1229+L1261+L1271+L1288+L1330+L1348+L1375+L1413+L1444+L1463+L1503+L1533+L1568</f>
        <v>53301681</v>
      </c>
      <c r="M1574" s="365">
        <f>M29+M56+M84+M121+M159+M213+M243+M285+M324+M342+M377+M404+M430+M459+M523+M540+M568+M592+M610+M645+M679+M699+M715+M753+M771+M799+M843+M875+M906+M921+M945+M978+M1001+M1012+M1032+M1064+M1080+M1109+M1130+M1146+M1163+M1185+M1201+M1229+M1261+M1271+M1288+M1330+M1348+M1375+M1413+M1444+M1463+M1486+M1503+M1533+M1568+M580</f>
        <v>88698157.920000002</v>
      </c>
      <c r="N1574" s="408">
        <f>N29+N56+N84+N121+N159+N213+N243+N285+N324+N342+N377+N404+N430+N459+N523+N540+N568+N592+N610+N645+N679+N699+N715+N753+N771+N799+N843+N875+N906+N921+N945+N978+N1001+N1012+N1032+N1064+N1080+N1109+N1130+N1146+N1163+N1185+N1201+N1229+N1261+N1271+N1288+N1330+N1348+N1375+N1413+N1444+N1463+N1486+N1503+N1533+N1568</f>
        <v>11232300</v>
      </c>
      <c r="O1574" s="415"/>
      <c r="P1574" s="415"/>
      <c r="Q1574" s="644"/>
    </row>
    <row r="1575" spans="1:17" ht="15.75" thickBot="1">
      <c r="A1575" s="1811" t="s">
        <v>591</v>
      </c>
      <c r="B1575" s="1812"/>
      <c r="C1575" s="1812"/>
      <c r="D1575" s="1812"/>
      <c r="E1575" s="1812"/>
      <c r="F1575" s="1812"/>
      <c r="G1575" s="1813"/>
      <c r="H1575" s="966"/>
      <c r="I1575" s="966"/>
      <c r="J1575" s="966"/>
      <c r="K1575" s="591">
        <f>K31+K58+K86+K123+K161+K215+K245+K287+K326+K344+K379+K406+K432+K461+K542+K570+K594+K612+K623+K647+K681+K701+K717+K755+K773+K801+K845+K855+K877+K908+K923+K947+K959+K980+K1003+K1014+K1034+K1066+K1082+K1111+K1132+K1148+K1165+K1187+K1203+K1231+K1263+K1273+K1290+K1332+K1350+K1377+K1415+K1446+K1465+K1488+K1505+K1535+K1546+K1570</f>
        <v>260969159.91999999</v>
      </c>
      <c r="L1575" s="583">
        <f>L31+L58+L86+L123+L161+L215+L245+L287+L326+L344+L379+L406+L432+L461+L542+L570+L594+L612+L623+L647+L681+L701+L717+L755+L773+L801+L845+L855+L877+L908+L923+L947+L959+L980+L1003+L1014+L1034+L1066+L1082+L1111+L1132+L1148+L1165+L1187+L1203+L1231+L1263+L1273+L1290+L1332+L1350+L1377+L1415+L1446+L1465+L1488+L1505+L1535+L1546+L1570</f>
        <v>144403080</v>
      </c>
      <c r="M1575" s="583">
        <f>M31+M58+M86+M123+M161+M215+M245+M287+M326+M344+M379+M406+M432+M461+M542+M570+M594+M612+M623+M647+M681+M701+M717+M755+M773+M801+M845+M855+M877+M908+M923+M947+M959+M980+M1003+M1014+M1034+M1066+M1082+M1111+M1132+M1148+M1165+M1187+M1203+M1231+M1263+M1273+M1290+M1332+M1350+M1377+M1415+M1446+M1465+M1488+M1505+M1535+M1546+M1570</f>
        <v>98522279.920000002</v>
      </c>
      <c r="N1575" s="591">
        <f>N31+N58+N86+N123+N161+N215+N245+N287+N326+N344+N379+N406+N432+N461+N542+N570+N594+N612+N623+N647+N681+N701+N717+N755+N773+N801+N845+N855+N877+N908+N923+N947+N959+N980+N1003+N1014+N1034+N1066+N1082+N1111+N1132+N1148+N1165+N1187+N1203+N1231+N1263+N1273+N1290+N1332+N1350+N1377+N1415+N1446+N1465+N1488+N1505+N1535+N1546+N1570</f>
        <v>18043800</v>
      </c>
      <c r="O1575" s="580"/>
      <c r="P1575" s="580"/>
      <c r="Q1575" s="816"/>
    </row>
    <row r="1576" spans="1:17">
      <c r="B1576" s="309"/>
      <c r="C1576" s="309"/>
      <c r="D1576" s="309"/>
      <c r="E1576" s="309"/>
      <c r="F1576" s="309"/>
      <c r="G1576" s="602"/>
      <c r="H1576" s="603"/>
      <c r="I1576" s="603"/>
      <c r="J1576" s="603"/>
      <c r="K1576" s="605"/>
      <c r="L1576" s="604"/>
      <c r="M1576" s="604"/>
      <c r="N1576" s="605"/>
      <c r="O1576" s="578"/>
      <c r="P1576" s="588"/>
    </row>
    <row r="1577" spans="1:17">
      <c r="I1577" s="628"/>
      <c r="J1577" s="628"/>
      <c r="K1577" s="628"/>
      <c r="L1577" s="630"/>
      <c r="M1577" s="630"/>
      <c r="N1577" s="628"/>
      <c r="O1577" s="629"/>
    </row>
    <row r="1578" spans="1:17">
      <c r="H1578" s="628"/>
      <c r="I1578" s="628"/>
      <c r="J1578" s="628"/>
      <c r="K1578" s="628"/>
      <c r="L1578" s="630"/>
      <c r="M1578" s="630"/>
      <c r="N1578" s="628"/>
      <c r="P1578" s="629"/>
    </row>
    <row r="1579" spans="1:17">
      <c r="H1579" s="628"/>
      <c r="I1579" s="628"/>
      <c r="J1579" s="628"/>
      <c r="K1579" s="628"/>
      <c r="L1579" s="630"/>
      <c r="M1579" s="630"/>
      <c r="N1579" s="628"/>
    </row>
    <row r="1580" spans="1:17">
      <c r="I1580" s="628"/>
      <c r="J1580" s="628"/>
      <c r="K1580" s="628"/>
      <c r="L1580" s="630"/>
      <c r="M1580" s="630"/>
      <c r="N1580" s="628"/>
    </row>
    <row r="1581" spans="1:17">
      <c r="J1581" s="628"/>
      <c r="K1581" s="628"/>
      <c r="L1581" s="630"/>
    </row>
    <row r="1582" spans="1:17">
      <c r="K1582" s="628"/>
    </row>
    <row r="1583" spans="1:17">
      <c r="K1583" s="628"/>
      <c r="N1583" s="628"/>
    </row>
    <row r="1584" spans="1:17">
      <c r="K1584" s="628"/>
      <c r="L1584" s="630"/>
      <c r="M1584" s="630"/>
      <c r="N1584" s="628"/>
    </row>
    <row r="1585" spans="11:11">
      <c r="K1585" s="628"/>
    </row>
    <row r="1586" spans="11:11">
      <c r="K1586" s="628"/>
    </row>
  </sheetData>
  <mergeCells count="3049">
    <mergeCell ref="O1028:O1029"/>
    <mergeCell ref="P1028:P1029"/>
    <mergeCell ref="Q1028:Q1029"/>
    <mergeCell ref="D1154:D1155"/>
    <mergeCell ref="P1191:P1192"/>
    <mergeCell ref="O1191:O1192"/>
    <mergeCell ref="P1182:P1183"/>
    <mergeCell ref="Q1171:Q1175"/>
    <mergeCell ref="F1142:F1143"/>
    <mergeCell ref="F1136:F1137"/>
    <mergeCell ref="G1136:G1137"/>
    <mergeCell ref="H1136:H1137"/>
    <mergeCell ref="A1140:G1140"/>
    <mergeCell ref="A1082:G1082"/>
    <mergeCell ref="B1086:B1087"/>
    <mergeCell ref="C1086:C1087"/>
    <mergeCell ref="A1142:A1143"/>
    <mergeCell ref="E1142:E1143"/>
    <mergeCell ref="A1146:G1146"/>
    <mergeCell ref="A1148:G1148"/>
    <mergeCell ref="A1152:A1153"/>
    <mergeCell ref="E1152:E1153"/>
    <mergeCell ref="O1152:O1153"/>
    <mergeCell ref="I1136:I1137"/>
    <mergeCell ref="I1152:I1153"/>
    <mergeCell ref="J1152:J1153"/>
    <mergeCell ref="D1086:D1087"/>
    <mergeCell ref="A1088:A1094"/>
    <mergeCell ref="E1091:E1094"/>
    <mergeCell ref="Q1091:Q1094"/>
    <mergeCell ref="A1117:A1119"/>
    <mergeCell ref="E1118:E1119"/>
    <mergeCell ref="O1046:O1062"/>
    <mergeCell ref="P1046:P1062"/>
    <mergeCell ref="Q1046:Q1062"/>
    <mergeCell ref="O1357:O1361"/>
    <mergeCell ref="P1357:P1361"/>
    <mergeCell ref="C1357:C1361"/>
    <mergeCell ref="D1357:D1361"/>
    <mergeCell ref="E1357:E1361"/>
    <mergeCell ref="B1357:B1361"/>
    <mergeCell ref="C1154:C1155"/>
    <mergeCell ref="B1209:B1215"/>
    <mergeCell ref="Q1209:Q1210"/>
    <mergeCell ref="F1210:F1211"/>
    <mergeCell ref="E1209:E1211"/>
    <mergeCell ref="Q1285:Q1286"/>
    <mergeCell ref="O1251:O1252"/>
    <mergeCell ref="O1254:O1255"/>
    <mergeCell ref="P1249:P1250"/>
    <mergeCell ref="P1251:P1252"/>
    <mergeCell ref="C1267:C1268"/>
    <mergeCell ref="C1285:C1286"/>
    <mergeCell ref="O1277:O1278"/>
    <mergeCell ref="P1283:P1284"/>
    <mergeCell ref="E1246:E1248"/>
    <mergeCell ref="C1246:C1248"/>
    <mergeCell ref="P1285:P1286"/>
    <mergeCell ref="P1267:P1268"/>
    <mergeCell ref="B1296:B1306"/>
    <mergeCell ref="C1296:C1306"/>
    <mergeCell ref="D1296:D1306"/>
    <mergeCell ref="E1296:E1306"/>
    <mergeCell ref="Q1323:Q1324"/>
    <mergeCell ref="Q1372:Q1373"/>
    <mergeCell ref="B1370:B1371"/>
    <mergeCell ref="C1370:C1371"/>
    <mergeCell ref="D1370:D1371"/>
    <mergeCell ref="E1370:E1371"/>
    <mergeCell ref="Q1370:Q1371"/>
    <mergeCell ref="O1370:O1371"/>
    <mergeCell ref="P1370:P1371"/>
    <mergeCell ref="D1307:D1309"/>
    <mergeCell ref="O1307:O1309"/>
    <mergeCell ref="Q1296:Q1305"/>
    <mergeCell ref="I1336:I1337"/>
    <mergeCell ref="P1325:P1326"/>
    <mergeCell ref="G1354:G1355"/>
    <mergeCell ref="H1354:H1355"/>
    <mergeCell ref="I1354:I1355"/>
    <mergeCell ref="J1354:J1355"/>
    <mergeCell ref="O1365:O1366"/>
    <mergeCell ref="P1365:P1366"/>
    <mergeCell ref="C1365:C1366"/>
    <mergeCell ref="B1365:B1366"/>
    <mergeCell ref="A1314:G1314"/>
    <mergeCell ref="A1316:A1317"/>
    <mergeCell ref="E1316:E1317"/>
    <mergeCell ref="A1356:A1361"/>
    <mergeCell ref="P1354:P1355"/>
    <mergeCell ref="O1296:O1306"/>
    <mergeCell ref="P1296:P1306"/>
    <mergeCell ref="O1354:O1355"/>
    <mergeCell ref="K1365:K1366"/>
    <mergeCell ref="I1365:I1366"/>
    <mergeCell ref="I1316:I1317"/>
    <mergeCell ref="C1558:C1559"/>
    <mergeCell ref="D1558:D1559"/>
    <mergeCell ref="E1558:E1559"/>
    <mergeCell ref="F1558:F1559"/>
    <mergeCell ref="G1558:G1559"/>
    <mergeCell ref="H1558:H1559"/>
    <mergeCell ref="I1558:I1559"/>
    <mergeCell ref="J1558:J1559"/>
    <mergeCell ref="K1558:K1559"/>
    <mergeCell ref="O1558:O1559"/>
    <mergeCell ref="P1558:P1559"/>
    <mergeCell ref="Q1558:Q1559"/>
    <mergeCell ref="A1560:A1566"/>
    <mergeCell ref="B1560:B1561"/>
    <mergeCell ref="C1560:C1561"/>
    <mergeCell ref="D1560:D1561"/>
    <mergeCell ref="E1560:E1561"/>
    <mergeCell ref="O1560:O1561"/>
    <mergeCell ref="P1560:P1561"/>
    <mergeCell ref="E1530:E1531"/>
    <mergeCell ref="D1530:D1531"/>
    <mergeCell ref="C1530:C1531"/>
    <mergeCell ref="B1530:B1531"/>
    <mergeCell ref="Q1560:Q1561"/>
    <mergeCell ref="B1562:B1566"/>
    <mergeCell ref="A1550:A1551"/>
    <mergeCell ref="B1550:B1551"/>
    <mergeCell ref="C1550:C1551"/>
    <mergeCell ref="D1550:D1551"/>
    <mergeCell ref="E1550:E1551"/>
    <mergeCell ref="F1550:F1551"/>
    <mergeCell ref="G1550:G1551"/>
    <mergeCell ref="H1550:H1551"/>
    <mergeCell ref="I1550:I1551"/>
    <mergeCell ref="J1550:J1551"/>
    <mergeCell ref="K1550:K1551"/>
    <mergeCell ref="O1550:O1551"/>
    <mergeCell ref="P1550:P1551"/>
    <mergeCell ref="Q1550:Q1551"/>
    <mergeCell ref="A1552:A1554"/>
    <mergeCell ref="B1552:B1554"/>
    <mergeCell ref="Q1552:Q1554"/>
    <mergeCell ref="O1565:O1566"/>
    <mergeCell ref="P1565:P1566"/>
    <mergeCell ref="E1565:E1566"/>
    <mergeCell ref="D1565:D1566"/>
    <mergeCell ref="C1565:C1566"/>
    <mergeCell ref="Q1565:Q1566"/>
    <mergeCell ref="A1556:G1556"/>
    <mergeCell ref="A1558:A1559"/>
    <mergeCell ref="B1558:B1559"/>
    <mergeCell ref="A1528:A1531"/>
    <mergeCell ref="Q1530:Q1531"/>
    <mergeCell ref="A1539:A1540"/>
    <mergeCell ref="B1539:B1540"/>
    <mergeCell ref="C1539:C1540"/>
    <mergeCell ref="D1539:D1540"/>
    <mergeCell ref="E1539:E1540"/>
    <mergeCell ref="F1539:F1540"/>
    <mergeCell ref="G1539:G1540"/>
    <mergeCell ref="H1539:H1540"/>
    <mergeCell ref="I1539:I1540"/>
    <mergeCell ref="J1539:J1540"/>
    <mergeCell ref="K1539:K1540"/>
    <mergeCell ref="O1539:O1540"/>
    <mergeCell ref="P1539:P1540"/>
    <mergeCell ref="Q1539:Q1540"/>
    <mergeCell ref="A1541:A1542"/>
    <mergeCell ref="B1541:B1542"/>
    <mergeCell ref="O1541:O1542"/>
    <mergeCell ref="P1541:P1542"/>
    <mergeCell ref="Q1541:Q1542"/>
    <mergeCell ref="A1533:G1533"/>
    <mergeCell ref="A1535:G1535"/>
    <mergeCell ref="E1528:E1529"/>
    <mergeCell ref="D1528:D1529"/>
    <mergeCell ref="C1528:C1529"/>
    <mergeCell ref="O1528:O1529"/>
    <mergeCell ref="P1528:P1529"/>
    <mergeCell ref="Q1528:Q1529"/>
    <mergeCell ref="B1528:B1529"/>
    <mergeCell ref="O1530:O1531"/>
    <mergeCell ref="P1530:P1531"/>
    <mergeCell ref="D1511:D1516"/>
    <mergeCell ref="C1511:C1516"/>
    <mergeCell ref="F1518:F1520"/>
    <mergeCell ref="F1521:F1522"/>
    <mergeCell ref="E1517:E1522"/>
    <mergeCell ref="D1517:D1522"/>
    <mergeCell ref="C1517:C1522"/>
    <mergeCell ref="B1511:B1522"/>
    <mergeCell ref="A1511:A1522"/>
    <mergeCell ref="O1517:O1522"/>
    <mergeCell ref="P1517:P1522"/>
    <mergeCell ref="Q1511:Q1522"/>
    <mergeCell ref="A1524:G1524"/>
    <mergeCell ref="A1526:A1527"/>
    <mergeCell ref="B1526:B1527"/>
    <mergeCell ref="C1526:C1527"/>
    <mergeCell ref="D1526:D1527"/>
    <mergeCell ref="E1526:E1527"/>
    <mergeCell ref="F1526:F1527"/>
    <mergeCell ref="G1526:G1527"/>
    <mergeCell ref="H1526:H1527"/>
    <mergeCell ref="I1526:I1527"/>
    <mergeCell ref="J1526:J1527"/>
    <mergeCell ref="K1526:K1527"/>
    <mergeCell ref="O1526:O1527"/>
    <mergeCell ref="P1526:P1527"/>
    <mergeCell ref="Q1526:Q1527"/>
    <mergeCell ref="I1499:I1500"/>
    <mergeCell ref="J1499:J1500"/>
    <mergeCell ref="K1499:K1500"/>
    <mergeCell ref="O1499:O1500"/>
    <mergeCell ref="P1499:P1500"/>
    <mergeCell ref="Q1499:Q1500"/>
    <mergeCell ref="A1509:A1510"/>
    <mergeCell ref="B1509:B1510"/>
    <mergeCell ref="C1509:C1510"/>
    <mergeCell ref="D1509:D1510"/>
    <mergeCell ref="E1509:E1510"/>
    <mergeCell ref="F1509:F1510"/>
    <mergeCell ref="G1509:G1510"/>
    <mergeCell ref="H1509:H1510"/>
    <mergeCell ref="I1509:I1510"/>
    <mergeCell ref="J1509:J1510"/>
    <mergeCell ref="K1509:K1510"/>
    <mergeCell ref="O1509:O1510"/>
    <mergeCell ref="P1509:P1510"/>
    <mergeCell ref="B1452:B1453"/>
    <mergeCell ref="J1434:J1435"/>
    <mergeCell ref="K1434:K1435"/>
    <mergeCell ref="D1434:D1435"/>
    <mergeCell ref="P1436:P1437"/>
    <mergeCell ref="E1438:E1439"/>
    <mergeCell ref="Q1509:Q1510"/>
    <mergeCell ref="F1513:F1515"/>
    <mergeCell ref="O1511:O1516"/>
    <mergeCell ref="P1511:P1516"/>
    <mergeCell ref="E1511:E1516"/>
    <mergeCell ref="A1503:G1503"/>
    <mergeCell ref="A1505:G1505"/>
    <mergeCell ref="B1483:B1484"/>
    <mergeCell ref="A1480:A1484"/>
    <mergeCell ref="A1494:A1495"/>
    <mergeCell ref="B1494:B1495"/>
    <mergeCell ref="C1494:C1495"/>
    <mergeCell ref="D1494:D1495"/>
    <mergeCell ref="E1494:E1495"/>
    <mergeCell ref="O1494:O1495"/>
    <mergeCell ref="P1494:P1495"/>
    <mergeCell ref="Q1494:Q1495"/>
    <mergeCell ref="A1497:G1497"/>
    <mergeCell ref="A1499:A1500"/>
    <mergeCell ref="B1499:B1500"/>
    <mergeCell ref="C1499:C1500"/>
    <mergeCell ref="D1499:D1500"/>
    <mergeCell ref="E1499:E1500"/>
    <mergeCell ref="F1499:F1500"/>
    <mergeCell ref="G1499:G1500"/>
    <mergeCell ref="H1499:H1500"/>
    <mergeCell ref="O1483:O1484"/>
    <mergeCell ref="P1483:P1484"/>
    <mergeCell ref="E1483:E1484"/>
    <mergeCell ref="D1483:D1484"/>
    <mergeCell ref="C1483:C1484"/>
    <mergeCell ref="Q1483:Q1484"/>
    <mergeCell ref="A1492:A1493"/>
    <mergeCell ref="B1492:B1493"/>
    <mergeCell ref="C1492:C1493"/>
    <mergeCell ref="D1492:D1493"/>
    <mergeCell ref="E1492:E1493"/>
    <mergeCell ref="F1492:F1493"/>
    <mergeCell ref="G1492:G1493"/>
    <mergeCell ref="H1492:H1493"/>
    <mergeCell ref="I1492:I1493"/>
    <mergeCell ref="J1492:J1493"/>
    <mergeCell ref="K1492:K1493"/>
    <mergeCell ref="O1492:O1493"/>
    <mergeCell ref="P1492:P1493"/>
    <mergeCell ref="Q1492:Q1493"/>
    <mergeCell ref="E1480:E1482"/>
    <mergeCell ref="B1480:B1482"/>
    <mergeCell ref="O1480:O1482"/>
    <mergeCell ref="P1480:P1482"/>
    <mergeCell ref="Q1480:Q1482"/>
    <mergeCell ref="A1486:G1486"/>
    <mergeCell ref="A1488:G1488"/>
    <mergeCell ref="C1391:C1393"/>
    <mergeCell ref="A1336:A1337"/>
    <mergeCell ref="A1421:A1430"/>
    <mergeCell ref="B1403:B1411"/>
    <mergeCell ref="C1403:C1405"/>
    <mergeCell ref="D1403:D1405"/>
    <mergeCell ref="O1403:O1405"/>
    <mergeCell ref="P1403:P1405"/>
    <mergeCell ref="C1410:C1411"/>
    <mergeCell ref="D1410:D1411"/>
    <mergeCell ref="O1410:O1411"/>
    <mergeCell ref="P1410:P1411"/>
    <mergeCell ref="D1391:D1393"/>
    <mergeCell ref="O1391:O1393"/>
    <mergeCell ref="A1383:A1397"/>
    <mergeCell ref="B1386:B1387"/>
    <mergeCell ref="C1480:C1482"/>
    <mergeCell ref="A1403:A1411"/>
    <mergeCell ref="E1403:E1405"/>
    <mergeCell ref="E1410:E1411"/>
    <mergeCell ref="A1413:G1413"/>
    <mergeCell ref="A1415:G1415"/>
    <mergeCell ref="A1419:A1420"/>
    <mergeCell ref="E1419:E1420"/>
    <mergeCell ref="E1427:E1430"/>
    <mergeCell ref="Q1325:Q1326"/>
    <mergeCell ref="Q1159:Q1160"/>
    <mergeCell ref="Q1117:Q1119"/>
    <mergeCell ref="B1123:B1124"/>
    <mergeCell ref="B1142:B1143"/>
    <mergeCell ref="K1336:K1337"/>
    <mergeCell ref="F1354:F1355"/>
    <mergeCell ref="D1365:D1366"/>
    <mergeCell ref="F1365:F1366"/>
    <mergeCell ref="A1281:G1281"/>
    <mergeCell ref="A1283:A1284"/>
    <mergeCell ref="E1283:E1284"/>
    <mergeCell ref="Q1338:Q1339"/>
    <mergeCell ref="Q1344:Q1345"/>
    <mergeCell ref="A1348:G1348"/>
    <mergeCell ref="E1336:E1337"/>
    <mergeCell ref="A1350:G1350"/>
    <mergeCell ref="A1354:A1355"/>
    <mergeCell ref="E1354:E1355"/>
    <mergeCell ref="A1277:A1278"/>
    <mergeCell ref="E1277:E1278"/>
    <mergeCell ref="D1277:D1278"/>
    <mergeCell ref="A1338:A1346"/>
    <mergeCell ref="P1277:P1278"/>
    <mergeCell ref="K1277:K1278"/>
    <mergeCell ref="F1277:F1278"/>
    <mergeCell ref="D1267:D1268"/>
    <mergeCell ref="O1325:O1326"/>
    <mergeCell ref="F1294:F1295"/>
    <mergeCell ref="Q1212:Q1215"/>
    <mergeCell ref="K1283:K1284"/>
    <mergeCell ref="C1283:C1284"/>
    <mergeCell ref="A1574:G1574"/>
    <mergeCell ref="A1575:G1575"/>
    <mergeCell ref="Q1440:Q1441"/>
    <mergeCell ref="O146:O147"/>
    <mergeCell ref="P146:P147"/>
    <mergeCell ref="O148:O149"/>
    <mergeCell ref="P148:P149"/>
    <mergeCell ref="Q272:Q274"/>
    <mergeCell ref="Q398:Q402"/>
    <mergeCell ref="Q424:Q428"/>
    <mergeCell ref="Q438:Q441"/>
    <mergeCell ref="Q442:Q444"/>
    <mergeCell ref="Q452:Q453"/>
    <mergeCell ref="Q454:Q456"/>
    <mergeCell ref="Q467:Q494"/>
    <mergeCell ref="Q501:Q521"/>
    <mergeCell ref="Q527:Q538"/>
    <mergeCell ref="Q548:Q550"/>
    <mergeCell ref="A1401:A1402"/>
    <mergeCell ref="B1401:B1402"/>
    <mergeCell ref="B1381:B1382"/>
    <mergeCell ref="C1381:C1382"/>
    <mergeCell ref="D1381:D1382"/>
    <mergeCell ref="F1381:F1382"/>
    <mergeCell ref="G1381:G1382"/>
    <mergeCell ref="H1381:H1382"/>
    <mergeCell ref="I1381:I1382"/>
    <mergeCell ref="J1381:J1382"/>
    <mergeCell ref="B1419:B1420"/>
    <mergeCell ref="C1419:C1420"/>
    <mergeCell ref="A1573:G1573"/>
    <mergeCell ref="Q824:Q828"/>
    <mergeCell ref="F1419:F1420"/>
    <mergeCell ref="G1419:G1420"/>
    <mergeCell ref="H1419:H1420"/>
    <mergeCell ref="I1419:I1420"/>
    <mergeCell ref="B1436:B1442"/>
    <mergeCell ref="C1434:C1435"/>
    <mergeCell ref="D1419:D1420"/>
    <mergeCell ref="O1419:O1420"/>
    <mergeCell ref="B1434:B1435"/>
    <mergeCell ref="P1440:P1441"/>
    <mergeCell ref="O1427:O1430"/>
    <mergeCell ref="P1427:P1430"/>
    <mergeCell ref="C1427:C1430"/>
    <mergeCell ref="D1427:D1430"/>
    <mergeCell ref="B1421:B1426"/>
    <mergeCell ref="C1421:C1426"/>
    <mergeCell ref="D1421:D1426"/>
    <mergeCell ref="E1421:E1426"/>
    <mergeCell ref="F1424:F1426"/>
    <mergeCell ref="O1421:O1426"/>
    <mergeCell ref="P1421:P1426"/>
    <mergeCell ref="D1440:D1441"/>
    <mergeCell ref="O1436:O1437"/>
    <mergeCell ref="E1471:E1474"/>
    <mergeCell ref="D1480:D1482"/>
    <mergeCell ref="Q1307:Q1309"/>
    <mergeCell ref="Q1310:Q1312"/>
    <mergeCell ref="A1318:A1328"/>
    <mergeCell ref="B1318:B1322"/>
    <mergeCell ref="B1323:B1324"/>
    <mergeCell ref="B1325:B1326"/>
    <mergeCell ref="E1323:E1324"/>
    <mergeCell ref="E1325:E1326"/>
    <mergeCell ref="O1323:O1324"/>
    <mergeCell ref="P1323:P1324"/>
    <mergeCell ref="O1316:O1317"/>
    <mergeCell ref="P1316:P1317"/>
    <mergeCell ref="D1388:D1390"/>
    <mergeCell ref="O1388:O1390"/>
    <mergeCell ref="P1388:P1390"/>
    <mergeCell ref="C1386:C1387"/>
    <mergeCell ref="J1336:J1337"/>
    <mergeCell ref="Q1381:Q1382"/>
    <mergeCell ref="D1367:D1369"/>
    <mergeCell ref="C1367:C1369"/>
    <mergeCell ref="B1367:B1369"/>
    <mergeCell ref="O1367:O1369"/>
    <mergeCell ref="B1388:B1390"/>
    <mergeCell ref="D1323:D1324"/>
    <mergeCell ref="Q1365:Q1366"/>
    <mergeCell ref="A1381:A1382"/>
    <mergeCell ref="E1338:E1339"/>
    <mergeCell ref="E1344:E1345"/>
    <mergeCell ref="Q1427:Q1430"/>
    <mergeCell ref="A1452:A1453"/>
    <mergeCell ref="C1212:C1215"/>
    <mergeCell ref="D1212:D1215"/>
    <mergeCell ref="Q1237:Q1240"/>
    <mergeCell ref="O1267:O1268"/>
    <mergeCell ref="B1267:B1268"/>
    <mergeCell ref="K1267:K1268"/>
    <mergeCell ref="G1283:G1284"/>
    <mergeCell ref="D1285:D1286"/>
    <mergeCell ref="A1267:A1268"/>
    <mergeCell ref="E1267:E1268"/>
    <mergeCell ref="A1273:G1273"/>
    <mergeCell ref="O1249:O1250"/>
    <mergeCell ref="B1338:B1346"/>
    <mergeCell ref="A1221:A1226"/>
    <mergeCell ref="B1237:B1240"/>
    <mergeCell ref="A1237:A1240"/>
    <mergeCell ref="A1285:A1286"/>
    <mergeCell ref="E1285:E1286"/>
    <mergeCell ref="E1249:E1250"/>
    <mergeCell ref="E1251:E1252"/>
    <mergeCell ref="E1258:E1259"/>
    <mergeCell ref="A1261:G1261"/>
    <mergeCell ref="A1263:G1263"/>
    <mergeCell ref="C1237:C1240"/>
    <mergeCell ref="A1294:A1295"/>
    <mergeCell ref="E1294:E1295"/>
    <mergeCell ref="A1296:A1312"/>
    <mergeCell ref="B1307:B1309"/>
    <mergeCell ref="B1310:B1312"/>
    <mergeCell ref="J1267:J1268"/>
    <mergeCell ref="C1277:C1278"/>
    <mergeCell ref="H1267:H1268"/>
    <mergeCell ref="F1159:F1160"/>
    <mergeCell ref="J1169:J1170"/>
    <mergeCell ref="C1179:C1180"/>
    <mergeCell ref="A1157:G1157"/>
    <mergeCell ref="A1136:A1137"/>
    <mergeCell ref="A1159:A1160"/>
    <mergeCell ref="Q1249:Q1250"/>
    <mergeCell ref="Q1251:Q1252"/>
    <mergeCell ref="Q1258:Q1259"/>
    <mergeCell ref="O1285:O1286"/>
    <mergeCell ref="P1254:P1255"/>
    <mergeCell ref="O1310:O1312"/>
    <mergeCell ref="G1294:G1295"/>
    <mergeCell ref="H1294:H1295"/>
    <mergeCell ref="H1244:H1245"/>
    <mergeCell ref="I1244:I1245"/>
    <mergeCell ref="E1179:E1180"/>
    <mergeCell ref="A1181:A1183"/>
    <mergeCell ref="E1182:E1183"/>
    <mergeCell ref="A1185:G1185"/>
    <mergeCell ref="A1187:G1187"/>
    <mergeCell ref="A1191:A1192"/>
    <mergeCell ref="E1191:E1192"/>
    <mergeCell ref="A1195:G1195"/>
    <mergeCell ref="F1219:F1220"/>
    <mergeCell ref="D1197:D1198"/>
    <mergeCell ref="D1182:D1183"/>
    <mergeCell ref="C1182:C1183"/>
    <mergeCell ref="A1197:A1198"/>
    <mergeCell ref="E1197:E1198"/>
    <mergeCell ref="A1201:G1201"/>
    <mergeCell ref="A1203:G1203"/>
    <mergeCell ref="P1115:P1116"/>
    <mergeCell ref="J1115:J1116"/>
    <mergeCell ref="C1125:C1126"/>
    <mergeCell ref="G1142:G1143"/>
    <mergeCell ref="C1127:C1128"/>
    <mergeCell ref="P1127:P1128"/>
    <mergeCell ref="A1121:G1121"/>
    <mergeCell ref="A1123:A1124"/>
    <mergeCell ref="E1123:E1124"/>
    <mergeCell ref="E1125:E1126"/>
    <mergeCell ref="E1127:E1128"/>
    <mergeCell ref="A1125:A1128"/>
    <mergeCell ref="B1125:B1126"/>
    <mergeCell ref="B1127:B1128"/>
    <mergeCell ref="A1209:A1215"/>
    <mergeCell ref="E1169:E1170"/>
    <mergeCell ref="A1171:A1175"/>
    <mergeCell ref="E1171:E1175"/>
    <mergeCell ref="J1197:J1198"/>
    <mergeCell ref="O1169:O1170"/>
    <mergeCell ref="I1169:I1170"/>
    <mergeCell ref="O1159:O1160"/>
    <mergeCell ref="A1169:A1170"/>
    <mergeCell ref="G1179:G1180"/>
    <mergeCell ref="H1179:H1180"/>
    <mergeCell ref="I1179:I1180"/>
    <mergeCell ref="B1159:B1160"/>
    <mergeCell ref="C1159:C1160"/>
    <mergeCell ref="D1159:D1160"/>
    <mergeCell ref="A1177:G1177"/>
    <mergeCell ref="A1179:A1180"/>
    <mergeCell ref="D1191:D1192"/>
    <mergeCell ref="Q1125:Q1126"/>
    <mergeCell ref="Q1127:Q1128"/>
    <mergeCell ref="K1152:K1153"/>
    <mergeCell ref="K1136:K1137"/>
    <mergeCell ref="B1117:B1119"/>
    <mergeCell ref="D1136:D1137"/>
    <mergeCell ref="J1123:J1124"/>
    <mergeCell ref="J1136:J1137"/>
    <mergeCell ref="Q1142:Q1143"/>
    <mergeCell ref="Q1152:Q1153"/>
    <mergeCell ref="B1136:B1137"/>
    <mergeCell ref="C1136:C1137"/>
    <mergeCell ref="P1142:P1143"/>
    <mergeCell ref="D1152:D1153"/>
    <mergeCell ref="C1142:C1143"/>
    <mergeCell ref="D1142:D1143"/>
    <mergeCell ref="O1142:O1143"/>
    <mergeCell ref="P1152:P1153"/>
    <mergeCell ref="P1123:P1124"/>
    <mergeCell ref="P1125:P1126"/>
    <mergeCell ref="O1123:O1124"/>
    <mergeCell ref="J1142:J1143"/>
    <mergeCell ref="Q1123:Q1124"/>
    <mergeCell ref="Q1136:Q1137"/>
    <mergeCell ref="H1152:H1153"/>
    <mergeCell ref="A1100:A1107"/>
    <mergeCell ref="B1100:B1105"/>
    <mergeCell ref="B1106:B1107"/>
    <mergeCell ref="E1100:E1105"/>
    <mergeCell ref="A1109:G1109"/>
    <mergeCell ref="A1111:G1111"/>
    <mergeCell ref="E1106:E1107"/>
    <mergeCell ref="F1103:F1105"/>
    <mergeCell ref="F1101:F1102"/>
    <mergeCell ref="Q1100:Q1105"/>
    <mergeCell ref="O1086:O1087"/>
    <mergeCell ref="P1086:P1087"/>
    <mergeCell ref="O1091:O1094"/>
    <mergeCell ref="P1091:P1094"/>
    <mergeCell ref="B1098:B1099"/>
    <mergeCell ref="C1098:C1099"/>
    <mergeCell ref="D1098:D1099"/>
    <mergeCell ref="F1098:F1099"/>
    <mergeCell ref="I1098:I1099"/>
    <mergeCell ref="J1098:J1099"/>
    <mergeCell ref="K1098:K1099"/>
    <mergeCell ref="O1098:O1099"/>
    <mergeCell ref="C1091:C1094"/>
    <mergeCell ref="D1106:D1107"/>
    <mergeCell ref="B1088:B1094"/>
    <mergeCell ref="F1086:F1087"/>
    <mergeCell ref="G1086:G1087"/>
    <mergeCell ref="H1086:H1087"/>
    <mergeCell ref="P1106:P1107"/>
    <mergeCell ref="P1098:P1099"/>
    <mergeCell ref="Q1106:Q1107"/>
    <mergeCell ref="E1154:E1155"/>
    <mergeCell ref="D1091:D1094"/>
    <mergeCell ref="F1152:F1153"/>
    <mergeCell ref="G1152:G1153"/>
    <mergeCell ref="C968:C970"/>
    <mergeCell ref="A1076:A1077"/>
    <mergeCell ref="E1076:E1077"/>
    <mergeCell ref="C1026:C1027"/>
    <mergeCell ref="D1076:D1077"/>
    <mergeCell ref="F1076:F1077"/>
    <mergeCell ref="G1076:G1077"/>
    <mergeCell ref="B1070:B1071"/>
    <mergeCell ref="J1070:J1071"/>
    <mergeCell ref="F1070:F1071"/>
    <mergeCell ref="G1070:G1071"/>
    <mergeCell ref="H1038:H1039"/>
    <mergeCell ref="A1086:A1087"/>
    <mergeCell ref="E1086:E1087"/>
    <mergeCell ref="B1076:B1077"/>
    <mergeCell ref="C1076:C1077"/>
    <mergeCell ref="A1074:G1074"/>
    <mergeCell ref="A1046:A1062"/>
    <mergeCell ref="B1044:B1045"/>
    <mergeCell ref="B1028:B1030"/>
    <mergeCell ref="A1028:A1030"/>
    <mergeCell ref="C1028:C1030"/>
    <mergeCell ref="F1056:F1057"/>
    <mergeCell ref="F1061:F1062"/>
    <mergeCell ref="F1046:F1049"/>
    <mergeCell ref="E1046:E1062"/>
    <mergeCell ref="D1046:D1062"/>
    <mergeCell ref="C1046:C1062"/>
    <mergeCell ref="A1217:G1217"/>
    <mergeCell ref="B1249:B1250"/>
    <mergeCell ref="B1251:B1252"/>
    <mergeCell ref="C1383:C1385"/>
    <mergeCell ref="B1354:B1355"/>
    <mergeCell ref="C1354:C1355"/>
    <mergeCell ref="C1318:C1319"/>
    <mergeCell ref="D1344:D1345"/>
    <mergeCell ref="D1258:D1259"/>
    <mergeCell ref="B1254:B1255"/>
    <mergeCell ref="C1254:C1255"/>
    <mergeCell ref="C1256:C1257"/>
    <mergeCell ref="B1256:B1257"/>
    <mergeCell ref="D1256:D1257"/>
    <mergeCell ref="E1256:E1257"/>
    <mergeCell ref="D1254:D1255"/>
    <mergeCell ref="C1249:C1250"/>
    <mergeCell ref="D1251:D1252"/>
    <mergeCell ref="A1271:G1271"/>
    <mergeCell ref="C1372:C1373"/>
    <mergeCell ref="B1372:B1373"/>
    <mergeCell ref="E1254:E1255"/>
    <mergeCell ref="D1246:D1248"/>
    <mergeCell ref="E1307:E1309"/>
    <mergeCell ref="C1219:C1220"/>
    <mergeCell ref="D1219:D1220"/>
    <mergeCell ref="A1219:A1220"/>
    <mergeCell ref="E1219:E1220"/>
    <mergeCell ref="B1219:B1220"/>
    <mergeCell ref="G1244:G1245"/>
    <mergeCell ref="A1244:A1245"/>
    <mergeCell ref="F1298:F1300"/>
    <mergeCell ref="J1294:J1295"/>
    <mergeCell ref="B1316:B1317"/>
    <mergeCell ref="O1372:O1373"/>
    <mergeCell ref="B1294:B1295"/>
    <mergeCell ref="B1283:B1284"/>
    <mergeCell ref="G1235:G1236"/>
    <mergeCell ref="C1251:C1252"/>
    <mergeCell ref="F1244:F1245"/>
    <mergeCell ref="B1244:B1245"/>
    <mergeCell ref="B1246:B1248"/>
    <mergeCell ref="B1258:B1259"/>
    <mergeCell ref="E1244:E1245"/>
    <mergeCell ref="D1336:D1337"/>
    <mergeCell ref="B1336:B1337"/>
    <mergeCell ref="C1336:C1337"/>
    <mergeCell ref="D1338:D1339"/>
    <mergeCell ref="C1338:C1339"/>
    <mergeCell ref="C1258:C1259"/>
    <mergeCell ref="D1318:D1319"/>
    <mergeCell ref="D1316:D1317"/>
    <mergeCell ref="J1244:J1245"/>
    <mergeCell ref="I1283:I1284"/>
    <mergeCell ref="J1283:J1284"/>
    <mergeCell ref="B1285:B1286"/>
    <mergeCell ref="D1283:D1284"/>
    <mergeCell ref="G1365:G1366"/>
    <mergeCell ref="C1294:C1295"/>
    <mergeCell ref="D1294:D1295"/>
    <mergeCell ref="C1323:C1324"/>
    <mergeCell ref="D1325:D1326"/>
    <mergeCell ref="J1365:J1366"/>
    <mergeCell ref="H1365:H1366"/>
    <mergeCell ref="A1363:G1363"/>
    <mergeCell ref="A1365:A1366"/>
    <mergeCell ref="E1365:E1366"/>
    <mergeCell ref="E1367:E1369"/>
    <mergeCell ref="I1294:I1295"/>
    <mergeCell ref="B1391:B1393"/>
    <mergeCell ref="B1394:B1396"/>
    <mergeCell ref="B1383:B1385"/>
    <mergeCell ref="E1383:E1385"/>
    <mergeCell ref="E1386:E1387"/>
    <mergeCell ref="E1388:E1390"/>
    <mergeCell ref="E1391:E1393"/>
    <mergeCell ref="E1394:E1396"/>
    <mergeCell ref="F1301:F1305"/>
    <mergeCell ref="A1375:G1375"/>
    <mergeCell ref="A1377:G1377"/>
    <mergeCell ref="D1383:D1385"/>
    <mergeCell ref="A1367:A1373"/>
    <mergeCell ref="C1325:C1326"/>
    <mergeCell ref="C1307:C1309"/>
    <mergeCell ref="C1310:C1312"/>
    <mergeCell ref="C1344:C1345"/>
    <mergeCell ref="E1159:E1160"/>
    <mergeCell ref="A1163:G1163"/>
    <mergeCell ref="A1165:G1165"/>
    <mergeCell ref="F1154:F1155"/>
    <mergeCell ref="O627:O628"/>
    <mergeCell ref="O1100:O1105"/>
    <mergeCell ref="O291:O292"/>
    <mergeCell ref="C301:C305"/>
    <mergeCell ref="A793:A797"/>
    <mergeCell ref="F354:F357"/>
    <mergeCell ref="F358:F359"/>
    <mergeCell ref="F360:F362"/>
    <mergeCell ref="D315:D316"/>
    <mergeCell ref="C315:C316"/>
    <mergeCell ref="B1009:B1010"/>
    <mergeCell ref="D1118:D1119"/>
    <mergeCell ref="A1115:A1116"/>
    <mergeCell ref="E1115:E1116"/>
    <mergeCell ref="F1115:F1116"/>
    <mergeCell ref="G1115:G1116"/>
    <mergeCell ref="C1115:C1116"/>
    <mergeCell ref="E1070:E1071"/>
    <mergeCell ref="B1154:B1155"/>
    <mergeCell ref="D894:D898"/>
    <mergeCell ref="E894:E898"/>
    <mergeCell ref="C894:C898"/>
    <mergeCell ref="F897:F898"/>
    <mergeCell ref="B742:B744"/>
    <mergeCell ref="A1154:A1155"/>
    <mergeCell ref="D1028:D1030"/>
    <mergeCell ref="O1244:O1245"/>
    <mergeCell ref="B1191:B1192"/>
    <mergeCell ref="I1219:I1220"/>
    <mergeCell ref="H1197:H1198"/>
    <mergeCell ref="F1197:F1198"/>
    <mergeCell ref="K1235:K1236"/>
    <mergeCell ref="J1219:J1220"/>
    <mergeCell ref="K1219:K1220"/>
    <mergeCell ref="O1219:O1220"/>
    <mergeCell ref="J1159:J1160"/>
    <mergeCell ref="K1159:K1160"/>
    <mergeCell ref="K1169:K1170"/>
    <mergeCell ref="F1169:F1170"/>
    <mergeCell ref="B1181:B1183"/>
    <mergeCell ref="D1209:D1211"/>
    <mergeCell ref="P1159:P1160"/>
    <mergeCell ref="B1152:B1153"/>
    <mergeCell ref="I1197:I1198"/>
    <mergeCell ref="B1235:B1236"/>
    <mergeCell ref="C1235:C1236"/>
    <mergeCell ref="D1235:D1236"/>
    <mergeCell ref="A1231:G1231"/>
    <mergeCell ref="A1235:A1236"/>
    <mergeCell ref="H1235:H1236"/>
    <mergeCell ref="I1235:I1236"/>
    <mergeCell ref="G1169:G1170"/>
    <mergeCell ref="H1169:H1170"/>
    <mergeCell ref="K1191:K1192"/>
    <mergeCell ref="F1191:F1192"/>
    <mergeCell ref="G1191:G1192"/>
    <mergeCell ref="H1191:H1192"/>
    <mergeCell ref="B1179:B1180"/>
    <mergeCell ref="C1197:C1198"/>
    <mergeCell ref="D1179:D1180"/>
    <mergeCell ref="C1191:C1192"/>
    <mergeCell ref="O1179:O1180"/>
    <mergeCell ref="E1235:E1236"/>
    <mergeCell ref="F1235:F1236"/>
    <mergeCell ref="O1212:O1215"/>
    <mergeCell ref="P1212:P1215"/>
    <mergeCell ref="E1212:E1215"/>
    <mergeCell ref="P1154:P1155"/>
    <mergeCell ref="F1267:F1268"/>
    <mergeCell ref="G1267:G1268"/>
    <mergeCell ref="C1106:C1107"/>
    <mergeCell ref="D1123:D1124"/>
    <mergeCell ref="F1123:F1124"/>
    <mergeCell ref="O1125:O1126"/>
    <mergeCell ref="D1127:D1128"/>
    <mergeCell ref="O1136:O1137"/>
    <mergeCell ref="C1244:C1245"/>
    <mergeCell ref="E1237:E1240"/>
    <mergeCell ref="D1237:D1240"/>
    <mergeCell ref="G1197:G1198"/>
    <mergeCell ref="G1219:G1220"/>
    <mergeCell ref="A1242:G1242"/>
    <mergeCell ref="A1246:A1259"/>
    <mergeCell ref="P1171:P1175"/>
    <mergeCell ref="F1179:F1180"/>
    <mergeCell ref="O1209:O1211"/>
    <mergeCell ref="P1209:P1211"/>
    <mergeCell ref="D1244:D1245"/>
    <mergeCell ref="O1154:O1155"/>
    <mergeCell ref="C1152:C1153"/>
    <mergeCell ref="H1159:H1160"/>
    <mergeCell ref="D1171:D1175"/>
    <mergeCell ref="B1171:B1175"/>
    <mergeCell ref="B1169:B1170"/>
    <mergeCell ref="C1169:C1170"/>
    <mergeCell ref="K1123:K1124"/>
    <mergeCell ref="P1244:P1245"/>
    <mergeCell ref="I35:I36"/>
    <mergeCell ref="E64:E72"/>
    <mergeCell ref="P35:P36"/>
    <mergeCell ref="D48:D49"/>
    <mergeCell ref="F48:F49"/>
    <mergeCell ref="G48:G49"/>
    <mergeCell ref="H48:H49"/>
    <mergeCell ref="H76:H77"/>
    <mergeCell ref="I76:I77"/>
    <mergeCell ref="J76:J77"/>
    <mergeCell ref="K76:K77"/>
    <mergeCell ref="O76:O77"/>
    <mergeCell ref="P76:P77"/>
    <mergeCell ref="G62:G63"/>
    <mergeCell ref="H62:H63"/>
    <mergeCell ref="I48:I49"/>
    <mergeCell ref="J48:J49"/>
    <mergeCell ref="K48:K49"/>
    <mergeCell ref="P62:P63"/>
    <mergeCell ref="O53:O54"/>
    <mergeCell ref="P53:P54"/>
    <mergeCell ref="E51:E52"/>
    <mergeCell ref="E53:E54"/>
    <mergeCell ref="B1197:B1198"/>
    <mergeCell ref="I1191:I1192"/>
    <mergeCell ref="J1191:J1192"/>
    <mergeCell ref="P90:P91"/>
    <mergeCell ref="F103:F104"/>
    <mergeCell ref="O22:O23"/>
    <mergeCell ref="P22:P23"/>
    <mergeCell ref="D22:D23"/>
    <mergeCell ref="C22:C23"/>
    <mergeCell ref="O25:O26"/>
    <mergeCell ref="P25:P26"/>
    <mergeCell ref="D25:D26"/>
    <mergeCell ref="C25:C26"/>
    <mergeCell ref="O78:O79"/>
    <mergeCell ref="P78:P79"/>
    <mergeCell ref="D78:D79"/>
    <mergeCell ref="C78:C79"/>
    <mergeCell ref="O80:O81"/>
    <mergeCell ref="O51:O52"/>
    <mergeCell ref="P51:P52"/>
    <mergeCell ref="D51:D52"/>
    <mergeCell ref="C51:C52"/>
    <mergeCell ref="C48:C49"/>
    <mergeCell ref="O35:O36"/>
    <mergeCell ref="O48:O49"/>
    <mergeCell ref="P48:P49"/>
    <mergeCell ref="H35:H36"/>
    <mergeCell ref="D35:D36"/>
    <mergeCell ref="J35:J36"/>
    <mergeCell ref="C62:C63"/>
    <mergeCell ref="C64:C72"/>
    <mergeCell ref="D76:D77"/>
    <mergeCell ref="F76:F77"/>
    <mergeCell ref="D80:D81"/>
    <mergeCell ref="C76:C77"/>
    <mergeCell ref="C80:C81"/>
    <mergeCell ref="F62:F63"/>
    <mergeCell ref="P113:P114"/>
    <mergeCell ref="C90:C91"/>
    <mergeCell ref="P92:P105"/>
    <mergeCell ref="F221:F223"/>
    <mergeCell ref="P111:P112"/>
    <mergeCell ref="O113:O114"/>
    <mergeCell ref="F127:F128"/>
    <mergeCell ref="C116:C117"/>
    <mergeCell ref="C221:C233"/>
    <mergeCell ref="F224:F233"/>
    <mergeCell ref="F173:F175"/>
    <mergeCell ref="K35:K36"/>
    <mergeCell ref="G35:G36"/>
    <mergeCell ref="F66:F71"/>
    <mergeCell ref="O37:O44"/>
    <mergeCell ref="P37:P44"/>
    <mergeCell ref="O64:O72"/>
    <mergeCell ref="P64:P72"/>
    <mergeCell ref="D62:D63"/>
    <mergeCell ref="O62:O63"/>
    <mergeCell ref="I62:I63"/>
    <mergeCell ref="G76:G77"/>
    <mergeCell ref="P80:P81"/>
    <mergeCell ref="C207:C208"/>
    <mergeCell ref="D209:D210"/>
    <mergeCell ref="A213:G213"/>
    <mergeCell ref="A215:G215"/>
    <mergeCell ref="A219:A220"/>
    <mergeCell ref="F92:F93"/>
    <mergeCell ref="J165:J166"/>
    <mergeCell ref="D111:D112"/>
    <mergeCell ref="P390:P392"/>
    <mergeCell ref="O386:O389"/>
    <mergeCell ref="D386:D389"/>
    <mergeCell ref="A394:G394"/>
    <mergeCell ref="P383:P384"/>
    <mergeCell ref="H396:H397"/>
    <mergeCell ref="I396:I397"/>
    <mergeCell ref="J396:J397"/>
    <mergeCell ref="F371:F372"/>
    <mergeCell ref="G330:G331"/>
    <mergeCell ref="B92:B105"/>
    <mergeCell ref="O313:O314"/>
    <mergeCell ref="D1125:D1126"/>
    <mergeCell ref="H1142:H1143"/>
    <mergeCell ref="F927:F928"/>
    <mergeCell ref="G927:G928"/>
    <mergeCell ref="H1115:H1116"/>
    <mergeCell ref="O415:O418"/>
    <mergeCell ref="E1028:E1030"/>
    <mergeCell ref="F1028:F1030"/>
    <mergeCell ref="E1038:E1039"/>
    <mergeCell ref="A1042:G1042"/>
    <mergeCell ref="K1038:K1039"/>
    <mergeCell ref="I1123:I1124"/>
    <mergeCell ref="O1115:O1116"/>
    <mergeCell ref="G1018:G1019"/>
    <mergeCell ref="D1100:D1105"/>
    <mergeCell ref="C1100:C1105"/>
    <mergeCell ref="C991:C992"/>
    <mergeCell ref="A1130:G1130"/>
    <mergeCell ref="A1132:G1132"/>
    <mergeCell ref="O90:O91"/>
    <mergeCell ref="O92:O105"/>
    <mergeCell ref="P116:P117"/>
    <mergeCell ref="D90:D91"/>
    <mergeCell ref="O132:O137"/>
    <mergeCell ref="P132:P137"/>
    <mergeCell ref="O138:O140"/>
    <mergeCell ref="P138:P140"/>
    <mergeCell ref="J197:J198"/>
    <mergeCell ref="K197:K198"/>
    <mergeCell ref="G249:G250"/>
    <mergeCell ref="H249:H250"/>
    <mergeCell ref="I249:I250"/>
    <mergeCell ref="P118:P119"/>
    <mergeCell ref="O144:O145"/>
    <mergeCell ref="P150:P151"/>
    <mergeCell ref="P205:P206"/>
    <mergeCell ref="O207:O208"/>
    <mergeCell ref="I144:I145"/>
    <mergeCell ref="J144:J145"/>
    <mergeCell ref="D207:D208"/>
    <mergeCell ref="A107:G107"/>
    <mergeCell ref="A109:A110"/>
    <mergeCell ref="E109:E110"/>
    <mergeCell ref="A111:A119"/>
    <mergeCell ref="E111:E112"/>
    <mergeCell ref="E113:E114"/>
    <mergeCell ref="E116:E117"/>
    <mergeCell ref="E118:E119"/>
    <mergeCell ref="A121:G121"/>
    <mergeCell ref="K165:K166"/>
    <mergeCell ref="O116:O117"/>
    <mergeCell ref="O1044:O1045"/>
    <mergeCell ref="I721:I722"/>
    <mergeCell ref="E501:E521"/>
    <mergeCell ref="I1142:I1143"/>
    <mergeCell ref="P1044:P1045"/>
    <mergeCell ref="O685:O686"/>
    <mergeCell ref="P685:P686"/>
    <mergeCell ref="K685:K686"/>
    <mergeCell ref="P1136:P1137"/>
    <mergeCell ref="O1118:O1119"/>
    <mergeCell ref="P1118:P1119"/>
    <mergeCell ref="K1115:K1116"/>
    <mergeCell ref="J546:J547"/>
    <mergeCell ref="C500:C521"/>
    <mergeCell ref="A957:G957"/>
    <mergeCell ref="A959:G959"/>
    <mergeCell ref="A963:A964"/>
    <mergeCell ref="I1038:I1039"/>
    <mergeCell ref="A972:G972"/>
    <mergeCell ref="O1106:O1107"/>
    <mergeCell ref="A1007:A1008"/>
    <mergeCell ref="E1007:E1008"/>
    <mergeCell ref="A1026:A1027"/>
    <mergeCell ref="O1127:O1128"/>
    <mergeCell ref="D1115:D1116"/>
    <mergeCell ref="E1136:E1137"/>
    <mergeCell ref="A980:G980"/>
    <mergeCell ref="B1046:B1062"/>
    <mergeCell ref="A1044:A1045"/>
    <mergeCell ref="E1044:E1045"/>
    <mergeCell ref="A1096:G1096"/>
    <mergeCell ref="A1098:A1099"/>
    <mergeCell ref="D1007:D1008"/>
    <mergeCell ref="F1007:F1008"/>
    <mergeCell ref="G1007:G1008"/>
    <mergeCell ref="B986:B987"/>
    <mergeCell ref="B1026:B1027"/>
    <mergeCell ref="B1007:B1008"/>
    <mergeCell ref="F991:F992"/>
    <mergeCell ref="G991:G992"/>
    <mergeCell ref="D991:D992"/>
    <mergeCell ref="G1098:G1099"/>
    <mergeCell ref="G1038:G1039"/>
    <mergeCell ref="C1038:C1039"/>
    <mergeCell ref="D1038:D1039"/>
    <mergeCell ref="B1038:B1039"/>
    <mergeCell ref="F144:F145"/>
    <mergeCell ref="C118:C119"/>
    <mergeCell ref="K1142:K1143"/>
    <mergeCell ref="C1118:C1119"/>
    <mergeCell ref="D600:D602"/>
    <mergeCell ref="H1076:H1077"/>
    <mergeCell ref="I1076:I1077"/>
    <mergeCell ref="K1044:K1045"/>
    <mergeCell ref="E1098:E1099"/>
    <mergeCell ref="I1115:I1116"/>
    <mergeCell ref="I1070:I1071"/>
    <mergeCell ref="K1070:K1071"/>
    <mergeCell ref="D986:D987"/>
    <mergeCell ref="C986:C987"/>
    <mergeCell ref="I1026:I1027"/>
    <mergeCell ref="J1026:J1027"/>
    <mergeCell ref="K1086:K1087"/>
    <mergeCell ref="J1086:J1087"/>
    <mergeCell ref="H1026:H1027"/>
    <mergeCell ref="A1034:G1034"/>
    <mergeCell ref="B1018:B1019"/>
    <mergeCell ref="C1018:C1019"/>
    <mergeCell ref="D1018:D1019"/>
    <mergeCell ref="C1044:C1045"/>
    <mergeCell ref="F1038:F1039"/>
    <mergeCell ref="F1050:F1055"/>
    <mergeCell ref="F1059:F1060"/>
    <mergeCell ref="A1009:A1010"/>
    <mergeCell ref="A1012:G1012"/>
    <mergeCell ref="A1014:G1014"/>
    <mergeCell ref="A1018:A1019"/>
    <mergeCell ref="E1018:E1019"/>
    <mergeCell ref="A1020:A1022"/>
    <mergeCell ref="A1024:G1024"/>
    <mergeCell ref="D998:D999"/>
    <mergeCell ref="E998:E999"/>
    <mergeCell ref="B998:B999"/>
    <mergeCell ref="B991:B992"/>
    <mergeCell ref="K1018:K1019"/>
    <mergeCell ref="E1026:E1027"/>
    <mergeCell ref="A1032:G1032"/>
    <mergeCell ref="C1007:C1008"/>
    <mergeCell ref="O836:O841"/>
    <mergeCell ref="K1076:K1077"/>
    <mergeCell ref="F1026:F1027"/>
    <mergeCell ref="A974:A975"/>
    <mergeCell ref="F791:F792"/>
    <mergeCell ref="A993:A999"/>
    <mergeCell ref="A1001:G1001"/>
    <mergeCell ref="A1003:G1003"/>
    <mergeCell ref="A1038:A1039"/>
    <mergeCell ref="A1064:G1064"/>
    <mergeCell ref="A1066:G1066"/>
    <mergeCell ref="A1070:A1071"/>
    <mergeCell ref="O991:O992"/>
    <mergeCell ref="K963:K964"/>
    <mergeCell ref="D963:D964"/>
    <mergeCell ref="B912:B913"/>
    <mergeCell ref="E937:E938"/>
    <mergeCell ref="D914:D915"/>
    <mergeCell ref="B927:B928"/>
    <mergeCell ref="D912:D913"/>
    <mergeCell ref="F912:F913"/>
    <mergeCell ref="E968:E970"/>
    <mergeCell ref="D968:D970"/>
    <mergeCell ref="E951:E952"/>
    <mergeCell ref="E974:E975"/>
    <mergeCell ref="A978:G978"/>
    <mergeCell ref="O951:O952"/>
    <mergeCell ref="O1038:O1039"/>
    <mergeCell ref="F963:F964"/>
    <mergeCell ref="G963:G964"/>
    <mergeCell ref="C864:C865"/>
    <mergeCell ref="D941:D943"/>
    <mergeCell ref="P500:P521"/>
    <mergeCell ref="E705:E706"/>
    <mergeCell ref="A709:G709"/>
    <mergeCell ref="A711:A712"/>
    <mergeCell ref="C1020:C1022"/>
    <mergeCell ref="D1020:D1022"/>
    <mergeCell ref="E1020:E1022"/>
    <mergeCell ref="D745:D747"/>
    <mergeCell ref="E745:E747"/>
    <mergeCell ref="D759:D760"/>
    <mergeCell ref="B849:B850"/>
    <mergeCell ref="E807:E830"/>
    <mergeCell ref="D807:D830"/>
    <mergeCell ref="C807:C830"/>
    <mergeCell ref="A984:A985"/>
    <mergeCell ref="P692:P693"/>
    <mergeCell ref="G673:G674"/>
    <mergeCell ref="A681:G681"/>
    <mergeCell ref="A685:A686"/>
    <mergeCell ref="E685:E686"/>
    <mergeCell ref="E941:E943"/>
    <mergeCell ref="A945:G945"/>
    <mergeCell ref="A947:G947"/>
    <mergeCell ref="A951:A952"/>
    <mergeCell ref="A799:G799"/>
    <mergeCell ref="A801:G801"/>
    <mergeCell ref="A805:A806"/>
    <mergeCell ref="E805:E806"/>
    <mergeCell ref="E791:E792"/>
    <mergeCell ref="B793:B795"/>
    <mergeCell ref="E793:E795"/>
    <mergeCell ref="C998:C999"/>
    <mergeCell ref="J616:J617"/>
    <mergeCell ref="H616:H617"/>
    <mergeCell ref="F500:F506"/>
    <mergeCell ref="H450:H451"/>
    <mergeCell ref="I450:I451"/>
    <mergeCell ref="J450:J451"/>
    <mergeCell ref="K450:K451"/>
    <mergeCell ref="O546:O547"/>
    <mergeCell ref="G546:G547"/>
    <mergeCell ref="B616:B617"/>
    <mergeCell ref="B548:B550"/>
    <mergeCell ref="B551:B555"/>
    <mergeCell ref="B600:B602"/>
    <mergeCell ref="C442:C444"/>
    <mergeCell ref="O442:O444"/>
    <mergeCell ref="G525:G526"/>
    <mergeCell ref="C438:C441"/>
    <mergeCell ref="E984:E985"/>
    <mergeCell ref="A986:A987"/>
    <mergeCell ref="E986:E987"/>
    <mergeCell ref="G791:G792"/>
    <mergeCell ref="F859:F860"/>
    <mergeCell ref="E899:E900"/>
    <mergeCell ref="A927:A928"/>
    <mergeCell ref="A807:A830"/>
    <mergeCell ref="B807:B830"/>
    <mergeCell ref="O438:O441"/>
    <mergeCell ref="A410:A411"/>
    <mergeCell ref="E410:E411"/>
    <mergeCell ref="A465:A466"/>
    <mergeCell ref="F507:F511"/>
    <mergeCell ref="D438:D441"/>
    <mergeCell ref="A501:A521"/>
    <mergeCell ref="A687:A688"/>
    <mergeCell ref="E687:E688"/>
    <mergeCell ref="A690:G690"/>
    <mergeCell ref="A968:A970"/>
    <mergeCell ref="A939:A943"/>
    <mergeCell ref="B939:B940"/>
    <mergeCell ref="A935:G935"/>
    <mergeCell ref="A937:A938"/>
    <mergeCell ref="O849:O850"/>
    <mergeCell ref="K859:K860"/>
    <mergeCell ref="K640:K641"/>
    <mergeCell ref="B675:B677"/>
    <mergeCell ref="D640:D641"/>
    <mergeCell ref="A705:A706"/>
    <mergeCell ref="A717:G717"/>
    <mergeCell ref="E525:E526"/>
    <mergeCell ref="O6:O7"/>
    <mergeCell ref="P6:P7"/>
    <mergeCell ref="B8:B16"/>
    <mergeCell ref="O8:O16"/>
    <mergeCell ref="P8:P16"/>
    <mergeCell ref="D8:D16"/>
    <mergeCell ref="C8:C16"/>
    <mergeCell ref="B6:B7"/>
    <mergeCell ref="C6:C7"/>
    <mergeCell ref="D6:D7"/>
    <mergeCell ref="P422:P423"/>
    <mergeCell ref="D467:D494"/>
    <mergeCell ref="E467:E494"/>
    <mergeCell ref="A496:G496"/>
    <mergeCell ref="A498:A499"/>
    <mergeCell ref="E498:E499"/>
    <mergeCell ref="J465:J466"/>
    <mergeCell ref="E436:E437"/>
    <mergeCell ref="G422:G423"/>
    <mergeCell ref="G366:G367"/>
    <mergeCell ref="G410:G411"/>
    <mergeCell ref="K410:K411"/>
    <mergeCell ref="I348:I349"/>
    <mergeCell ref="O350:O351"/>
    <mergeCell ref="O318:O319"/>
    <mergeCell ref="I410:I411"/>
    <mergeCell ref="O450:O451"/>
    <mergeCell ref="D450:D451"/>
    <mergeCell ref="F450:F451"/>
    <mergeCell ref="I498:I499"/>
    <mergeCell ref="C396:C397"/>
    <mergeCell ref="D396:D397"/>
    <mergeCell ref="O20:O21"/>
    <mergeCell ref="P20:P21"/>
    <mergeCell ref="P450:P451"/>
    <mergeCell ref="D452:D453"/>
    <mergeCell ref="P398:P402"/>
    <mergeCell ref="P582:P583"/>
    <mergeCell ref="P551:P552"/>
    <mergeCell ref="A610:G610"/>
    <mergeCell ref="D553:D554"/>
    <mergeCell ref="B350:B362"/>
    <mergeCell ref="K498:K499"/>
    <mergeCell ref="E559:E560"/>
    <mergeCell ref="D559:D560"/>
    <mergeCell ref="C527:C538"/>
    <mergeCell ref="K598:K599"/>
    <mergeCell ref="C598:C599"/>
    <mergeCell ref="D598:D599"/>
    <mergeCell ref="P454:P455"/>
    <mergeCell ref="O452:O453"/>
    <mergeCell ref="P598:P599"/>
    <mergeCell ref="F582:F583"/>
    <mergeCell ref="G582:G583"/>
    <mergeCell ref="P548:P550"/>
    <mergeCell ref="O598:O599"/>
    <mergeCell ref="B559:B560"/>
    <mergeCell ref="G396:G397"/>
    <mergeCell ref="B498:B499"/>
    <mergeCell ref="O396:O397"/>
    <mergeCell ref="O422:O423"/>
    <mergeCell ref="C467:C494"/>
    <mergeCell ref="A438:A445"/>
    <mergeCell ref="O398:O402"/>
    <mergeCell ref="P836:P841"/>
    <mergeCell ref="P759:P760"/>
    <mergeCell ref="E759:E760"/>
    <mergeCell ref="P436:P437"/>
    <mergeCell ref="P438:P441"/>
    <mergeCell ref="O436:O437"/>
    <mergeCell ref="F498:F499"/>
    <mergeCell ref="P467:P494"/>
    <mergeCell ref="O498:O499"/>
    <mergeCell ref="I465:I466"/>
    <mergeCell ref="P498:P499"/>
    <mergeCell ref="P465:P466"/>
    <mergeCell ref="B500:B521"/>
    <mergeCell ref="P600:P602"/>
    <mergeCell ref="P553:P554"/>
    <mergeCell ref="P546:P547"/>
    <mergeCell ref="C627:C628"/>
    <mergeCell ref="O553:O554"/>
    <mergeCell ref="O600:O602"/>
    <mergeCell ref="D525:D526"/>
    <mergeCell ref="F527:F538"/>
    <mergeCell ref="B525:B526"/>
    <mergeCell ref="C525:C526"/>
    <mergeCell ref="F546:F547"/>
    <mergeCell ref="O759:O760"/>
    <mergeCell ref="J582:J583"/>
    <mergeCell ref="J606:J607"/>
    <mergeCell ref="O692:O693"/>
    <mergeCell ref="B527:B538"/>
    <mergeCell ref="P640:P641"/>
    <mergeCell ref="H777:H778"/>
    <mergeCell ref="O673:O674"/>
    <mergeCell ref="P1007:P1008"/>
    <mergeCell ref="P721:P722"/>
    <mergeCell ref="O766:O767"/>
    <mergeCell ref="I912:I913"/>
    <mergeCell ref="E901:E902"/>
    <mergeCell ref="B892:B893"/>
    <mergeCell ref="B881:B882"/>
    <mergeCell ref="A721:A722"/>
    <mergeCell ref="E721:E722"/>
    <mergeCell ref="A724:A733"/>
    <mergeCell ref="O640:O641"/>
    <mergeCell ref="K692:K693"/>
    <mergeCell ref="E739:E741"/>
    <mergeCell ref="E953:E955"/>
    <mergeCell ref="A953:A955"/>
    <mergeCell ref="A640:A641"/>
    <mergeCell ref="O780:O783"/>
    <mergeCell ref="B737:B738"/>
    <mergeCell ref="J692:J693"/>
    <mergeCell ref="B694:B697"/>
    <mergeCell ref="B640:B641"/>
    <mergeCell ref="O687:O688"/>
    <mergeCell ref="B723:B733"/>
    <mergeCell ref="C651:C652"/>
    <mergeCell ref="H849:H850"/>
    <mergeCell ref="D892:D893"/>
    <mergeCell ref="H834:H835"/>
    <mergeCell ref="O675:O677"/>
    <mergeCell ref="B721:B722"/>
    <mergeCell ref="F721:F722"/>
    <mergeCell ref="F730:F731"/>
    <mergeCell ref="C694:C697"/>
    <mergeCell ref="J777:J778"/>
    <mergeCell ref="G498:G499"/>
    <mergeCell ref="K546:K547"/>
    <mergeCell ref="E627:E628"/>
    <mergeCell ref="H582:H583"/>
    <mergeCell ref="C721:C722"/>
    <mergeCell ref="D784:D787"/>
    <mergeCell ref="P968:P970"/>
    <mergeCell ref="O711:O712"/>
    <mergeCell ref="O1026:O1027"/>
    <mergeCell ref="P1038:P1039"/>
    <mergeCell ref="K711:K712"/>
    <mergeCell ref="H711:H712"/>
    <mergeCell ref="I711:I712"/>
    <mergeCell ref="H721:H722"/>
    <mergeCell ref="O705:O706"/>
    <mergeCell ref="C640:C641"/>
    <mergeCell ref="I937:I938"/>
    <mergeCell ref="D953:D955"/>
    <mergeCell ref="O968:O970"/>
    <mergeCell ref="O606:O607"/>
    <mergeCell ref="C616:C617"/>
    <mergeCell ref="C606:C607"/>
    <mergeCell ref="K582:K583"/>
    <mergeCell ref="C600:C602"/>
    <mergeCell ref="P627:P628"/>
    <mergeCell ref="I1007:I1008"/>
    <mergeCell ref="J1007:J1008"/>
    <mergeCell ref="K1007:K1008"/>
    <mergeCell ref="A638:G638"/>
    <mergeCell ref="P675:P677"/>
    <mergeCell ref="O1007:O1008"/>
    <mergeCell ref="P724:P733"/>
    <mergeCell ref="K525:K526"/>
    <mergeCell ref="P442:P444"/>
    <mergeCell ref="P424:P428"/>
    <mergeCell ref="O465:O466"/>
    <mergeCell ref="G692:G693"/>
    <mergeCell ref="F692:F693"/>
    <mergeCell ref="O454:O455"/>
    <mergeCell ref="K396:K397"/>
    <mergeCell ref="I525:I526"/>
    <mergeCell ref="K436:K437"/>
    <mergeCell ref="D410:D411"/>
    <mergeCell ref="C415:C418"/>
    <mergeCell ref="K422:K423"/>
    <mergeCell ref="O424:O428"/>
    <mergeCell ref="E692:E693"/>
    <mergeCell ref="E694:E697"/>
    <mergeCell ref="D498:D499"/>
    <mergeCell ref="H673:H674"/>
    <mergeCell ref="G450:G451"/>
    <mergeCell ref="O467:O494"/>
    <mergeCell ref="O721:O722"/>
    <mergeCell ref="J651:J652"/>
    <mergeCell ref="K651:K652"/>
    <mergeCell ref="E711:E712"/>
    <mergeCell ref="P525:P526"/>
    <mergeCell ref="O500:O521"/>
    <mergeCell ref="F627:F628"/>
    <mergeCell ref="C422:C423"/>
    <mergeCell ref="D415:D418"/>
    <mergeCell ref="D500:D521"/>
    <mergeCell ref="O410:O411"/>
    <mergeCell ref="P350:P351"/>
    <mergeCell ref="O352:O362"/>
    <mergeCell ref="O383:O384"/>
    <mergeCell ref="A379:G379"/>
    <mergeCell ref="A383:A384"/>
    <mergeCell ref="B383:B384"/>
    <mergeCell ref="E383:E384"/>
    <mergeCell ref="E386:E389"/>
    <mergeCell ref="E390:E392"/>
    <mergeCell ref="D383:D384"/>
    <mergeCell ref="E465:E466"/>
    <mergeCell ref="C386:C389"/>
    <mergeCell ref="A396:A397"/>
    <mergeCell ref="P386:P389"/>
    <mergeCell ref="P452:P453"/>
    <mergeCell ref="P415:P418"/>
    <mergeCell ref="F366:F367"/>
    <mergeCell ref="K366:K367"/>
    <mergeCell ref="O366:O367"/>
    <mergeCell ref="G383:G384"/>
    <mergeCell ref="H383:H384"/>
    <mergeCell ref="B465:B466"/>
    <mergeCell ref="I366:I367"/>
    <mergeCell ref="A377:G377"/>
    <mergeCell ref="J436:J437"/>
    <mergeCell ref="C390:C392"/>
    <mergeCell ref="A398:A402"/>
    <mergeCell ref="B385:B392"/>
    <mergeCell ref="A385:A392"/>
    <mergeCell ref="C452:C453"/>
    <mergeCell ref="D401:D402"/>
    <mergeCell ref="B436:B437"/>
    <mergeCell ref="P366:P367"/>
    <mergeCell ref="B424:B428"/>
    <mergeCell ref="B452:B453"/>
    <mergeCell ref="B454:B455"/>
    <mergeCell ref="B687:B688"/>
    <mergeCell ref="K705:K706"/>
    <mergeCell ref="F727:F728"/>
    <mergeCell ref="C953:C955"/>
    <mergeCell ref="O953:O955"/>
    <mergeCell ref="P953:P955"/>
    <mergeCell ref="C951:C952"/>
    <mergeCell ref="D951:D952"/>
    <mergeCell ref="F951:F952"/>
    <mergeCell ref="G951:G952"/>
    <mergeCell ref="H951:H952"/>
    <mergeCell ref="I951:I952"/>
    <mergeCell ref="J951:J952"/>
    <mergeCell ref="K951:K952"/>
    <mergeCell ref="D927:D928"/>
    <mergeCell ref="O927:O928"/>
    <mergeCell ref="P927:P928"/>
    <mergeCell ref="K927:K928"/>
    <mergeCell ref="D937:D938"/>
    <mergeCell ref="F937:F938"/>
    <mergeCell ref="G937:G938"/>
    <mergeCell ref="H937:H938"/>
    <mergeCell ref="D939:D940"/>
    <mergeCell ref="C939:C940"/>
    <mergeCell ref="O914:O915"/>
    <mergeCell ref="O937:O938"/>
    <mergeCell ref="P937:P938"/>
    <mergeCell ref="P673:P674"/>
    <mergeCell ref="K90:K91"/>
    <mergeCell ref="F90:F91"/>
    <mergeCell ref="G165:G166"/>
    <mergeCell ref="C886:C887"/>
    <mergeCell ref="F881:F882"/>
    <mergeCell ref="G881:G882"/>
    <mergeCell ref="K20:K21"/>
    <mergeCell ref="F191:F193"/>
    <mergeCell ref="F168:F172"/>
    <mergeCell ref="I805:I806"/>
    <mergeCell ref="H881:H882"/>
    <mergeCell ref="E849:E850"/>
    <mergeCell ref="O525:O526"/>
    <mergeCell ref="A570:G570"/>
    <mergeCell ref="F6:F7"/>
    <mergeCell ref="B76:B77"/>
    <mergeCell ref="G598:G599"/>
    <mergeCell ref="A692:A693"/>
    <mergeCell ref="B20:B21"/>
    <mergeCell ref="C20:C21"/>
    <mergeCell ref="D20:D21"/>
    <mergeCell ref="F20:F21"/>
    <mergeCell ref="G20:G21"/>
    <mergeCell ref="H20:H21"/>
    <mergeCell ref="I20:I21"/>
    <mergeCell ref="J20:J21"/>
    <mergeCell ref="B438:B445"/>
    <mergeCell ref="D442:D444"/>
    <mergeCell ref="K383:K384"/>
    <mergeCell ref="I383:I384"/>
    <mergeCell ref="O791:O792"/>
    <mergeCell ref="C673:C674"/>
    <mergeCell ref="C780:C783"/>
    <mergeCell ref="K805:K806"/>
    <mergeCell ref="A598:A599"/>
    <mergeCell ref="A461:G461"/>
    <mergeCell ref="E350:E351"/>
    <mergeCell ref="K6:K7"/>
    <mergeCell ref="F10:F15"/>
    <mergeCell ref="F219:F220"/>
    <mergeCell ref="G219:G220"/>
    <mergeCell ref="H219:H220"/>
    <mergeCell ref="I219:I220"/>
    <mergeCell ref="J219:J220"/>
    <mergeCell ref="H346:J346"/>
    <mergeCell ref="H237:H238"/>
    <mergeCell ref="I237:I238"/>
    <mergeCell ref="J237:J238"/>
    <mergeCell ref="J62:J63"/>
    <mergeCell ref="K62:K63"/>
    <mergeCell ref="F133:F134"/>
    <mergeCell ref="F270:F271"/>
    <mergeCell ref="G270:G271"/>
    <mergeCell ref="K237:K238"/>
    <mergeCell ref="F256:F258"/>
    <mergeCell ref="F249:F250"/>
    <mergeCell ref="F291:F292"/>
    <mergeCell ref="G6:G7"/>
    <mergeCell ref="H270:H271"/>
    <mergeCell ref="I270:I271"/>
    <mergeCell ref="B629:B636"/>
    <mergeCell ref="D551:D552"/>
    <mergeCell ref="H6:H7"/>
    <mergeCell ref="I6:I7"/>
    <mergeCell ref="K249:K250"/>
    <mergeCell ref="D109:D110"/>
    <mergeCell ref="B165:B166"/>
    <mergeCell ref="B255:B259"/>
    <mergeCell ref="E251:E254"/>
    <mergeCell ref="E255:E259"/>
    <mergeCell ref="A270:A271"/>
    <mergeCell ref="B251:B254"/>
    <mergeCell ref="K270:K271"/>
    <mergeCell ref="J249:J250"/>
    <mergeCell ref="G291:G292"/>
    <mergeCell ref="B270:B271"/>
    <mergeCell ref="F252:F253"/>
    <mergeCell ref="D742:D744"/>
    <mergeCell ref="J383:J384"/>
    <mergeCell ref="I422:I423"/>
    <mergeCell ref="J422:J423"/>
    <mergeCell ref="C401:C402"/>
    <mergeCell ref="C399:C400"/>
    <mergeCell ref="F711:F712"/>
    <mergeCell ref="A559:A560"/>
    <mergeCell ref="B582:B583"/>
    <mergeCell ref="F598:F599"/>
    <mergeCell ref="E548:E550"/>
    <mergeCell ref="D584:D586"/>
    <mergeCell ref="F685:F686"/>
    <mergeCell ref="E640:E641"/>
    <mergeCell ref="B627:B628"/>
    <mergeCell ref="A326:G326"/>
    <mergeCell ref="F383:F384"/>
    <mergeCell ref="B685:B686"/>
    <mergeCell ref="B422:B423"/>
    <mergeCell ref="B965:B970"/>
    <mergeCell ref="A912:A913"/>
    <mergeCell ref="E912:E913"/>
    <mergeCell ref="A914:A919"/>
    <mergeCell ref="A921:G921"/>
    <mergeCell ref="A923:G923"/>
    <mergeCell ref="C805:C806"/>
    <mergeCell ref="B870:B871"/>
    <mergeCell ref="E861:E863"/>
    <mergeCell ref="D861:D863"/>
    <mergeCell ref="C791:C792"/>
    <mergeCell ref="F794:F795"/>
    <mergeCell ref="E939:E940"/>
    <mergeCell ref="A791:A792"/>
    <mergeCell ref="E914:E915"/>
    <mergeCell ref="C916:C917"/>
    <mergeCell ref="D916:D917"/>
    <mergeCell ref="E916:E917"/>
    <mergeCell ref="A908:G908"/>
    <mergeCell ref="A853:G853"/>
    <mergeCell ref="A855:G855"/>
    <mergeCell ref="C941:C943"/>
    <mergeCell ref="B805:B806"/>
    <mergeCell ref="A845:G845"/>
    <mergeCell ref="D805:D806"/>
    <mergeCell ref="C881:C882"/>
    <mergeCell ref="D886:D887"/>
    <mergeCell ref="F849:F850"/>
    <mergeCell ref="E864:E865"/>
    <mergeCell ref="D864:D865"/>
    <mergeCell ref="H991:H992"/>
    <mergeCell ref="D791:D792"/>
    <mergeCell ref="G766:G767"/>
    <mergeCell ref="B836:B839"/>
    <mergeCell ref="B859:B860"/>
    <mergeCell ref="C546:C547"/>
    <mergeCell ref="D673:D674"/>
    <mergeCell ref="D694:D697"/>
    <mergeCell ref="B711:B712"/>
    <mergeCell ref="C711:C712"/>
    <mergeCell ref="D711:D712"/>
    <mergeCell ref="A647:G647"/>
    <mergeCell ref="A651:A652"/>
    <mergeCell ref="F616:F617"/>
    <mergeCell ref="C582:C583"/>
    <mergeCell ref="D582:D583"/>
    <mergeCell ref="G711:G712"/>
    <mergeCell ref="B705:B706"/>
    <mergeCell ref="C705:C706"/>
    <mergeCell ref="D705:D706"/>
    <mergeCell ref="B562:B566"/>
    <mergeCell ref="C559:C560"/>
    <mergeCell ref="A679:G679"/>
    <mergeCell ref="A601:A602"/>
    <mergeCell ref="A675:A677"/>
    <mergeCell ref="E675:E677"/>
    <mergeCell ref="E618:E619"/>
    <mergeCell ref="A621:G621"/>
    <mergeCell ref="G627:G628"/>
    <mergeCell ref="D587:D588"/>
    <mergeCell ref="E606:E607"/>
    <mergeCell ref="E598:E599"/>
    <mergeCell ref="E265:E266"/>
    <mergeCell ref="G974:G975"/>
    <mergeCell ref="H974:H975"/>
    <mergeCell ref="I974:I975"/>
    <mergeCell ref="C692:C693"/>
    <mergeCell ref="B953:B955"/>
    <mergeCell ref="F759:F760"/>
    <mergeCell ref="A883:A888"/>
    <mergeCell ref="C899:C900"/>
    <mergeCell ref="F1044:F1045"/>
    <mergeCell ref="G1044:G1045"/>
    <mergeCell ref="C937:C938"/>
    <mergeCell ref="C914:C915"/>
    <mergeCell ref="A859:A860"/>
    <mergeCell ref="H791:H792"/>
    <mergeCell ref="H766:H767"/>
    <mergeCell ref="I766:I767"/>
    <mergeCell ref="B759:B760"/>
    <mergeCell ref="H805:H806"/>
    <mergeCell ref="A843:G843"/>
    <mergeCell ref="H892:H893"/>
    <mergeCell ref="E724:E733"/>
    <mergeCell ref="I963:I964"/>
    <mergeCell ref="B768:B769"/>
    <mergeCell ref="B963:B964"/>
    <mergeCell ref="C963:C964"/>
    <mergeCell ref="G705:G706"/>
    <mergeCell ref="A753:G753"/>
    <mergeCell ref="D859:D860"/>
    <mergeCell ref="G805:G806"/>
    <mergeCell ref="H859:H860"/>
    <mergeCell ref="C866:C867"/>
    <mergeCell ref="E270:E271"/>
    <mergeCell ref="C306:C309"/>
    <mergeCell ref="B320:B321"/>
    <mergeCell ref="E315:E316"/>
    <mergeCell ref="E318:E319"/>
    <mergeCell ref="F606:F607"/>
    <mergeCell ref="C675:C677"/>
    <mergeCell ref="E673:E674"/>
    <mergeCell ref="D399:D400"/>
    <mergeCell ref="B398:B402"/>
    <mergeCell ref="F400:F402"/>
    <mergeCell ref="A623:G623"/>
    <mergeCell ref="G616:G617"/>
    <mergeCell ref="B396:B397"/>
    <mergeCell ref="D320:D321"/>
    <mergeCell ref="C320:C321"/>
    <mergeCell ref="C293:C296"/>
    <mergeCell ref="C366:C367"/>
    <mergeCell ref="C313:C314"/>
    <mergeCell ref="F373:F374"/>
    <mergeCell ref="E369:E375"/>
    <mergeCell ref="D369:D375"/>
    <mergeCell ref="C369:C375"/>
    <mergeCell ref="F562:F563"/>
    <mergeCell ref="F640:F641"/>
    <mergeCell ref="D546:D547"/>
    <mergeCell ref="E553:E554"/>
    <mergeCell ref="F436:F437"/>
    <mergeCell ref="F465:F466"/>
    <mergeCell ref="C436:C437"/>
    <mergeCell ref="K291:K292"/>
    <mergeCell ref="O293:O296"/>
    <mergeCell ref="I291:I292"/>
    <mergeCell ref="J291:J292"/>
    <mergeCell ref="H4:J4"/>
    <mergeCell ref="C498:C499"/>
    <mergeCell ref="G737:G738"/>
    <mergeCell ref="H737:H738"/>
    <mergeCell ref="I737:I738"/>
    <mergeCell ref="J737:J738"/>
    <mergeCell ref="D92:D105"/>
    <mergeCell ref="C92:C105"/>
    <mergeCell ref="D37:D44"/>
    <mergeCell ref="C37:C44"/>
    <mergeCell ref="F39:F43"/>
    <mergeCell ref="D64:D72"/>
    <mergeCell ref="C291:C292"/>
    <mergeCell ref="D291:D292"/>
    <mergeCell ref="E293:E296"/>
    <mergeCell ref="E297:E300"/>
    <mergeCell ref="E301:E305"/>
    <mergeCell ref="E306:E309"/>
    <mergeCell ref="C348:C349"/>
    <mergeCell ref="D348:D349"/>
    <mergeCell ref="F348:F349"/>
    <mergeCell ref="F396:F397"/>
    <mergeCell ref="C277:C278"/>
    <mergeCell ref="C465:C466"/>
    <mergeCell ref="D465:D466"/>
    <mergeCell ref="E260:E264"/>
    <mergeCell ref="D265:D266"/>
    <mergeCell ref="C265:C266"/>
    <mergeCell ref="D270:D271"/>
    <mergeCell ref="D251:D254"/>
    <mergeCell ref="F489:F494"/>
    <mergeCell ref="H366:H367"/>
    <mergeCell ref="D301:D305"/>
    <mergeCell ref="D422:D423"/>
    <mergeCell ref="F422:F423"/>
    <mergeCell ref="F410:F411"/>
    <mergeCell ref="H348:H349"/>
    <mergeCell ref="G465:G466"/>
    <mergeCell ref="H465:H466"/>
    <mergeCell ref="F468:F471"/>
    <mergeCell ref="A459:G459"/>
    <mergeCell ref="A467:A494"/>
    <mergeCell ref="A268:G268"/>
    <mergeCell ref="A366:A367"/>
    <mergeCell ref="D352:D362"/>
    <mergeCell ref="E352:E362"/>
    <mergeCell ref="F473:F476"/>
    <mergeCell ref="E320:E321"/>
    <mergeCell ref="F398:F399"/>
    <mergeCell ref="F303:F304"/>
    <mergeCell ref="C352:C362"/>
    <mergeCell ref="G436:G437"/>
    <mergeCell ref="D390:D392"/>
    <mergeCell ref="A350:A362"/>
    <mergeCell ref="A364:G364"/>
    <mergeCell ref="A424:A428"/>
    <mergeCell ref="E422:E423"/>
    <mergeCell ref="B412:B418"/>
    <mergeCell ref="E401:E402"/>
    <mergeCell ref="F295:F296"/>
    <mergeCell ref="A699:G699"/>
    <mergeCell ref="E737:E738"/>
    <mergeCell ref="J766:J767"/>
    <mergeCell ref="H525:H526"/>
    <mergeCell ref="C766:C767"/>
    <mergeCell ref="A653:A669"/>
    <mergeCell ref="H651:H652"/>
    <mergeCell ref="H705:H706"/>
    <mergeCell ref="E653:E669"/>
    <mergeCell ref="C562:C566"/>
    <mergeCell ref="A546:A547"/>
    <mergeCell ref="A548:A555"/>
    <mergeCell ref="D870:D871"/>
    <mergeCell ref="I759:I760"/>
    <mergeCell ref="J759:J760"/>
    <mergeCell ref="C777:C778"/>
    <mergeCell ref="C927:C928"/>
    <mergeCell ref="C834:C835"/>
    <mergeCell ref="D834:D835"/>
    <mergeCell ref="H912:H913"/>
    <mergeCell ref="B777:B778"/>
    <mergeCell ref="C793:C795"/>
    <mergeCell ref="C859:C860"/>
    <mergeCell ref="A875:G875"/>
    <mergeCell ref="H606:H607"/>
    <mergeCell ref="A715:G715"/>
    <mergeCell ref="H546:H547"/>
    <mergeCell ref="B546:B547"/>
    <mergeCell ref="F777:F778"/>
    <mergeCell ref="G777:G778"/>
    <mergeCell ref="C548:C550"/>
    <mergeCell ref="D675:D677"/>
    <mergeCell ref="E963:E964"/>
    <mergeCell ref="I834:I835"/>
    <mergeCell ref="A761:A762"/>
    <mergeCell ref="B791:B792"/>
    <mergeCell ref="A832:G832"/>
    <mergeCell ref="J705:J706"/>
    <mergeCell ref="I705:I706"/>
    <mergeCell ref="F939:F940"/>
    <mergeCell ref="D929:D930"/>
    <mergeCell ref="C739:C741"/>
    <mergeCell ref="A834:A835"/>
    <mergeCell ref="E834:E835"/>
    <mergeCell ref="A836:A841"/>
    <mergeCell ref="C749:C751"/>
    <mergeCell ref="B739:B741"/>
    <mergeCell ref="C742:C744"/>
    <mergeCell ref="D793:D795"/>
    <mergeCell ref="D901:D902"/>
    <mergeCell ref="E768:E769"/>
    <mergeCell ref="A755:G755"/>
    <mergeCell ref="D899:D900"/>
    <mergeCell ref="E749:E751"/>
    <mergeCell ref="C737:C738"/>
    <mergeCell ref="B916:B917"/>
    <mergeCell ref="C912:C913"/>
    <mergeCell ref="C849:C850"/>
    <mergeCell ref="B951:B952"/>
    <mergeCell ref="B937:B938"/>
    <mergeCell ref="B761:B762"/>
    <mergeCell ref="C745:C747"/>
    <mergeCell ref="D749:D751"/>
    <mergeCell ref="B745:B747"/>
    <mergeCell ref="D974:D975"/>
    <mergeCell ref="F974:F975"/>
    <mergeCell ref="C209:C210"/>
    <mergeCell ref="B587:B588"/>
    <mergeCell ref="E396:E397"/>
    <mergeCell ref="E399:E400"/>
    <mergeCell ref="F512:F521"/>
    <mergeCell ref="A436:A437"/>
    <mergeCell ref="I546:I547"/>
    <mergeCell ref="E527:E538"/>
    <mergeCell ref="G559:G560"/>
    <mergeCell ref="E551:E552"/>
    <mergeCell ref="E629:E636"/>
    <mergeCell ref="H598:H599"/>
    <mergeCell ref="G606:G607"/>
    <mergeCell ref="J627:J628"/>
    <mergeCell ref="E616:E617"/>
    <mergeCell ref="A618:A619"/>
    <mergeCell ref="I598:I599"/>
    <mergeCell ref="D618:D619"/>
    <mergeCell ref="B598:B599"/>
    <mergeCell ref="D548:D550"/>
    <mergeCell ref="F559:F560"/>
    <mergeCell ref="E546:E547"/>
    <mergeCell ref="D627:D628"/>
    <mergeCell ref="A527:A538"/>
    <mergeCell ref="J598:J599"/>
    <mergeCell ref="H559:H560"/>
    <mergeCell ref="D562:D566"/>
    <mergeCell ref="I582:I583"/>
    <mergeCell ref="I673:I674"/>
    <mergeCell ref="J673:J674"/>
    <mergeCell ref="H685:H686"/>
    <mergeCell ref="B974:B975"/>
    <mergeCell ref="C974:C975"/>
    <mergeCell ref="B941:B943"/>
    <mergeCell ref="B914:B915"/>
    <mergeCell ref="H963:H964"/>
    <mergeCell ref="J974:J975"/>
    <mergeCell ref="A877:G877"/>
    <mergeCell ref="O739:O741"/>
    <mergeCell ref="P739:P741"/>
    <mergeCell ref="P737:P738"/>
    <mergeCell ref="J881:J882"/>
    <mergeCell ref="P881:P882"/>
    <mergeCell ref="A759:A760"/>
    <mergeCell ref="A849:A850"/>
    <mergeCell ref="B834:B835"/>
    <mergeCell ref="O899:O900"/>
    <mergeCell ref="E881:E882"/>
    <mergeCell ref="D881:D882"/>
    <mergeCell ref="C768:C769"/>
    <mergeCell ref="C870:C871"/>
    <mergeCell ref="O892:O893"/>
    <mergeCell ref="A766:A767"/>
    <mergeCell ref="B894:B898"/>
    <mergeCell ref="B899:B900"/>
    <mergeCell ref="A768:A769"/>
    <mergeCell ref="G849:G850"/>
    <mergeCell ref="G721:G722"/>
    <mergeCell ref="K737:K738"/>
    <mergeCell ref="K912:K913"/>
    <mergeCell ref="K892:K893"/>
    <mergeCell ref="A906:G906"/>
    <mergeCell ref="A673:A674"/>
    <mergeCell ref="A764:G764"/>
    <mergeCell ref="O768:O769"/>
    <mergeCell ref="I651:I652"/>
    <mergeCell ref="I685:I686"/>
    <mergeCell ref="I791:I792"/>
    <mergeCell ref="P711:P712"/>
    <mergeCell ref="P653:P669"/>
    <mergeCell ref="F630:F636"/>
    <mergeCell ref="D629:D636"/>
    <mergeCell ref="C629:C636"/>
    <mergeCell ref="O745:O747"/>
    <mergeCell ref="O653:O669"/>
    <mergeCell ref="J834:J835"/>
    <mergeCell ref="D849:D850"/>
    <mergeCell ref="P694:P697"/>
    <mergeCell ref="P705:P706"/>
    <mergeCell ref="K673:K674"/>
    <mergeCell ref="P834:P835"/>
    <mergeCell ref="A694:A697"/>
    <mergeCell ref="B780:B783"/>
    <mergeCell ref="B784:B787"/>
    <mergeCell ref="E780:E783"/>
    <mergeCell ref="D685:D686"/>
    <mergeCell ref="D692:D693"/>
    <mergeCell ref="H692:H693"/>
    <mergeCell ref="F807:F813"/>
    <mergeCell ref="A737:A738"/>
    <mergeCell ref="P749:P751"/>
    <mergeCell ref="F656:F658"/>
    <mergeCell ref="F659:F669"/>
    <mergeCell ref="F805:F806"/>
    <mergeCell ref="K606:K607"/>
    <mergeCell ref="P651:P652"/>
    <mergeCell ref="J791:J792"/>
    <mergeCell ref="K766:K767"/>
    <mergeCell ref="G640:G641"/>
    <mergeCell ref="D721:D722"/>
    <mergeCell ref="F724:F725"/>
    <mergeCell ref="A789:G789"/>
    <mergeCell ref="D768:D769"/>
    <mergeCell ref="D780:D783"/>
    <mergeCell ref="D616:D617"/>
    <mergeCell ref="E742:E744"/>
    <mergeCell ref="O651:O652"/>
    <mergeCell ref="O629:O636"/>
    <mergeCell ref="C759:C760"/>
    <mergeCell ref="P606:P607"/>
    <mergeCell ref="J805:J806"/>
    <mergeCell ref="G759:G760"/>
    <mergeCell ref="H759:H760"/>
    <mergeCell ref="H640:H641"/>
    <mergeCell ref="O737:O738"/>
    <mergeCell ref="A701:G701"/>
    <mergeCell ref="E651:E652"/>
    <mergeCell ref="A629:A636"/>
    <mergeCell ref="A612:G612"/>
    <mergeCell ref="D606:D607"/>
    <mergeCell ref="B606:B607"/>
    <mergeCell ref="C618:C619"/>
    <mergeCell ref="O694:O697"/>
    <mergeCell ref="J711:J712"/>
    <mergeCell ref="B692:B693"/>
    <mergeCell ref="E766:E767"/>
    <mergeCell ref="E784:E787"/>
    <mergeCell ref="O749:O751"/>
    <mergeCell ref="F834:F835"/>
    <mergeCell ref="I777:I778"/>
    <mergeCell ref="P791:P792"/>
    <mergeCell ref="O777:O778"/>
    <mergeCell ref="P777:P778"/>
    <mergeCell ref="O793:O795"/>
    <mergeCell ref="P793:P795"/>
    <mergeCell ref="P745:P747"/>
    <mergeCell ref="J685:J686"/>
    <mergeCell ref="A735:G735"/>
    <mergeCell ref="C836:C839"/>
    <mergeCell ref="D836:D839"/>
    <mergeCell ref="E836:E839"/>
    <mergeCell ref="P784:P787"/>
    <mergeCell ref="P768:P769"/>
    <mergeCell ref="A739:A751"/>
    <mergeCell ref="C685:C686"/>
    <mergeCell ref="D777:D778"/>
    <mergeCell ref="O742:O744"/>
    <mergeCell ref="O805:O806"/>
    <mergeCell ref="K791:K792"/>
    <mergeCell ref="K759:K760"/>
    <mergeCell ref="P766:P767"/>
    <mergeCell ref="C687:C688"/>
    <mergeCell ref="F816:F829"/>
    <mergeCell ref="O807:O829"/>
    <mergeCell ref="O784:O787"/>
    <mergeCell ref="B766:B767"/>
    <mergeCell ref="J721:J722"/>
    <mergeCell ref="K721:K722"/>
    <mergeCell ref="O984:O985"/>
    <mergeCell ref="P742:P744"/>
    <mergeCell ref="G834:G835"/>
    <mergeCell ref="P849:P850"/>
    <mergeCell ref="P805:P806"/>
    <mergeCell ref="C724:C733"/>
    <mergeCell ref="P859:P860"/>
    <mergeCell ref="B651:B652"/>
    <mergeCell ref="B749:B751"/>
    <mergeCell ref="J859:J860"/>
    <mergeCell ref="I859:I860"/>
    <mergeCell ref="O912:O913"/>
    <mergeCell ref="C784:C787"/>
    <mergeCell ref="A777:A778"/>
    <mergeCell ref="E777:E778"/>
    <mergeCell ref="A779:A787"/>
    <mergeCell ref="B883:B888"/>
    <mergeCell ref="K849:K850"/>
    <mergeCell ref="P886:P887"/>
    <mergeCell ref="D653:D669"/>
    <mergeCell ref="D651:D652"/>
    <mergeCell ref="K937:K938"/>
    <mergeCell ref="F892:F893"/>
    <mergeCell ref="G892:G893"/>
    <mergeCell ref="I849:I850"/>
    <mergeCell ref="A890:G890"/>
    <mergeCell ref="A892:A893"/>
    <mergeCell ref="E892:E893"/>
    <mergeCell ref="A894:A904"/>
    <mergeCell ref="I881:I882"/>
    <mergeCell ref="J849:J850"/>
    <mergeCell ref="I692:I693"/>
    <mergeCell ref="Q6:Q7"/>
    <mergeCell ref="Q8:Q16"/>
    <mergeCell ref="A6:A7"/>
    <mergeCell ref="E6:E7"/>
    <mergeCell ref="A18:G18"/>
    <mergeCell ref="A8:A16"/>
    <mergeCell ref="E8:E16"/>
    <mergeCell ref="A20:A21"/>
    <mergeCell ref="Q62:Q63"/>
    <mergeCell ref="Q64:Q72"/>
    <mergeCell ref="Q76:Q77"/>
    <mergeCell ref="A90:A91"/>
    <mergeCell ref="Q90:Q91"/>
    <mergeCell ref="E90:E91"/>
    <mergeCell ref="A31:G31"/>
    <mergeCell ref="Q20:Q21"/>
    <mergeCell ref="A35:A36"/>
    <mergeCell ref="E35:E36"/>
    <mergeCell ref="Q35:Q36"/>
    <mergeCell ref="A37:A44"/>
    <mergeCell ref="E37:E44"/>
    <mergeCell ref="A46:G46"/>
    <mergeCell ref="Q37:Q44"/>
    <mergeCell ref="Q48:Q49"/>
    <mergeCell ref="A48:A49"/>
    <mergeCell ref="A50:A54"/>
    <mergeCell ref="E48:E49"/>
    <mergeCell ref="H90:H91"/>
    <mergeCell ref="I90:I91"/>
    <mergeCell ref="J6:J7"/>
    <mergeCell ref="E76:E77"/>
    <mergeCell ref="E80:E81"/>
    <mergeCell ref="B22:B23"/>
    <mergeCell ref="B25:B26"/>
    <mergeCell ref="A2:H2"/>
    <mergeCell ref="A22:A27"/>
    <mergeCell ref="E20:E21"/>
    <mergeCell ref="E22:E23"/>
    <mergeCell ref="E25:E26"/>
    <mergeCell ref="A29:G29"/>
    <mergeCell ref="B984:B985"/>
    <mergeCell ref="C984:C985"/>
    <mergeCell ref="D984:D985"/>
    <mergeCell ref="F984:F985"/>
    <mergeCell ref="G984:G985"/>
    <mergeCell ref="H984:H985"/>
    <mergeCell ref="F35:F36"/>
    <mergeCell ref="B37:B44"/>
    <mergeCell ref="D221:D233"/>
    <mergeCell ref="B221:B233"/>
    <mergeCell ref="A324:G324"/>
    <mergeCell ref="A239:A241"/>
    <mergeCell ref="B239:B240"/>
    <mergeCell ref="E239:E240"/>
    <mergeCell ref="E249:E250"/>
    <mergeCell ref="D306:D309"/>
    <mergeCell ref="A313:A314"/>
    <mergeCell ref="B35:B36"/>
    <mergeCell ref="C35:C36"/>
    <mergeCell ref="B48:B49"/>
    <mergeCell ref="B109:B110"/>
    <mergeCell ref="E78:E79"/>
    <mergeCell ref="F651:F652"/>
    <mergeCell ref="G651:G652"/>
    <mergeCell ref="A197:A198"/>
    <mergeCell ref="B146:B149"/>
    <mergeCell ref="E144:E145"/>
    <mergeCell ref="F148:F149"/>
    <mergeCell ref="B80:B81"/>
    <mergeCell ref="C109:C110"/>
    <mergeCell ref="B653:B669"/>
    <mergeCell ref="C653:C669"/>
    <mergeCell ref="A771:G771"/>
    <mergeCell ref="A773:G773"/>
    <mergeCell ref="G685:G686"/>
    <mergeCell ref="A616:A617"/>
    <mergeCell ref="A627:A628"/>
    <mergeCell ref="A645:G645"/>
    <mergeCell ref="D766:D767"/>
    <mergeCell ref="F766:F767"/>
    <mergeCell ref="G90:G91"/>
    <mergeCell ref="A199:A211"/>
    <mergeCell ref="E199:E201"/>
    <mergeCell ref="D366:D367"/>
    <mergeCell ref="B366:B367"/>
    <mergeCell ref="B348:B349"/>
    <mergeCell ref="D332:D333"/>
    <mergeCell ref="E332:E333"/>
    <mergeCell ref="C551:C552"/>
    <mergeCell ref="D146:D147"/>
    <mergeCell ref="D277:D278"/>
    <mergeCell ref="D737:D738"/>
    <mergeCell ref="F737:F738"/>
    <mergeCell ref="E587:E588"/>
    <mergeCell ref="E589:E590"/>
    <mergeCell ref="A592:G592"/>
    <mergeCell ref="A167:A193"/>
    <mergeCell ref="E167:E193"/>
    <mergeCell ref="D132:D137"/>
    <mergeCell ref="C132:C137"/>
    <mergeCell ref="D138:D140"/>
    <mergeCell ref="I165:I166"/>
    <mergeCell ref="C165:C166"/>
    <mergeCell ref="D165:D166"/>
    <mergeCell ref="F165:F166"/>
    <mergeCell ref="H165:H166"/>
    <mergeCell ref="Q127:Q128"/>
    <mergeCell ref="G144:G145"/>
    <mergeCell ref="C148:C149"/>
    <mergeCell ref="C146:C147"/>
    <mergeCell ref="O150:O151"/>
    <mergeCell ref="Q165:Q166"/>
    <mergeCell ref="Q167:Q193"/>
    <mergeCell ref="B127:B128"/>
    <mergeCell ref="A144:A145"/>
    <mergeCell ref="C144:C145"/>
    <mergeCell ref="D144:D145"/>
    <mergeCell ref="C153:C154"/>
    <mergeCell ref="E146:E147"/>
    <mergeCell ref="E148:E149"/>
    <mergeCell ref="O153:O154"/>
    <mergeCell ref="K127:K128"/>
    <mergeCell ref="B62:B63"/>
    <mergeCell ref="B51:B52"/>
    <mergeCell ref="B53:B54"/>
    <mergeCell ref="A56:G56"/>
    <mergeCell ref="A58:G58"/>
    <mergeCell ref="B78:B79"/>
    <mergeCell ref="A84:G84"/>
    <mergeCell ref="A86:G86"/>
    <mergeCell ref="B64:B72"/>
    <mergeCell ref="D118:D119"/>
    <mergeCell ref="C53:C54"/>
    <mergeCell ref="C111:C112"/>
    <mergeCell ref="D113:D114"/>
    <mergeCell ref="C113:C114"/>
    <mergeCell ref="C138:C140"/>
    <mergeCell ref="D127:D128"/>
    <mergeCell ref="F135:F136"/>
    <mergeCell ref="A76:A77"/>
    <mergeCell ref="A78:A82"/>
    <mergeCell ref="D53:D54"/>
    <mergeCell ref="B118:B119"/>
    <mergeCell ref="A92:A105"/>
    <mergeCell ref="A62:A63"/>
    <mergeCell ref="A64:A72"/>
    <mergeCell ref="A74:G74"/>
    <mergeCell ref="E62:E63"/>
    <mergeCell ref="B111:B112"/>
    <mergeCell ref="B113:B114"/>
    <mergeCell ref="B116:B117"/>
    <mergeCell ref="F97:F98"/>
    <mergeCell ref="G127:G128"/>
    <mergeCell ref="F109:F110"/>
    <mergeCell ref="I197:I198"/>
    <mergeCell ref="P197:P198"/>
    <mergeCell ref="Q129:Q131"/>
    <mergeCell ref="Q132:Q137"/>
    <mergeCell ref="Q138:Q140"/>
    <mergeCell ref="Q200:Q201"/>
    <mergeCell ref="Q202:Q204"/>
    <mergeCell ref="A129:A140"/>
    <mergeCell ref="B129:B137"/>
    <mergeCell ref="B138:B140"/>
    <mergeCell ref="A123:G123"/>
    <mergeCell ref="A127:A128"/>
    <mergeCell ref="E127:E128"/>
    <mergeCell ref="J90:J91"/>
    <mergeCell ref="O118:O119"/>
    <mergeCell ref="H109:H110"/>
    <mergeCell ref="I109:I110"/>
    <mergeCell ref="J109:J110"/>
    <mergeCell ref="K109:K110"/>
    <mergeCell ref="O109:O110"/>
    <mergeCell ref="D155:D156"/>
    <mergeCell ref="C155:C156"/>
    <mergeCell ref="P144:P145"/>
    <mergeCell ref="B90:B91"/>
    <mergeCell ref="D116:D117"/>
    <mergeCell ref="P153:P154"/>
    <mergeCell ref="O155:O156"/>
    <mergeCell ref="P155:P156"/>
    <mergeCell ref="H144:H145"/>
    <mergeCell ref="B150:B151"/>
    <mergeCell ref="B153:B154"/>
    <mergeCell ref="Q144:Q145"/>
    <mergeCell ref="A195:G195"/>
    <mergeCell ref="E153:E154"/>
    <mergeCell ref="E155:E156"/>
    <mergeCell ref="A159:G159"/>
    <mergeCell ref="A161:G161"/>
    <mergeCell ref="B155:B156"/>
    <mergeCell ref="O111:O112"/>
    <mergeCell ref="P109:P110"/>
    <mergeCell ref="E150:E151"/>
    <mergeCell ref="D150:D151"/>
    <mergeCell ref="C150:C151"/>
    <mergeCell ref="D148:D149"/>
    <mergeCell ref="D167:D193"/>
    <mergeCell ref="D153:D154"/>
    <mergeCell ref="A146:A157"/>
    <mergeCell ref="E92:E105"/>
    <mergeCell ref="O165:O166"/>
    <mergeCell ref="P165:P166"/>
    <mergeCell ref="B144:B145"/>
    <mergeCell ref="O127:O128"/>
    <mergeCell ref="P127:P128"/>
    <mergeCell ref="G109:G110"/>
    <mergeCell ref="E132:E137"/>
    <mergeCell ref="E138:E140"/>
    <mergeCell ref="A142:G142"/>
    <mergeCell ref="C127:C128"/>
    <mergeCell ref="K144:K145"/>
    <mergeCell ref="J127:J128"/>
    <mergeCell ref="I127:I128"/>
    <mergeCell ref="H127:H128"/>
    <mergeCell ref="A165:A166"/>
    <mergeCell ref="E165:E166"/>
    <mergeCell ref="O205:O206"/>
    <mergeCell ref="C202:C204"/>
    <mergeCell ref="D202:D204"/>
    <mergeCell ref="E202:E204"/>
    <mergeCell ref="P167:P193"/>
    <mergeCell ref="Q205:Q206"/>
    <mergeCell ref="Q207:Q208"/>
    <mergeCell ref="Q209:Q210"/>
    <mergeCell ref="C199:C201"/>
    <mergeCell ref="D199:D201"/>
    <mergeCell ref="O197:O198"/>
    <mergeCell ref="A245:G245"/>
    <mergeCell ref="A249:A250"/>
    <mergeCell ref="O249:O250"/>
    <mergeCell ref="P249:P250"/>
    <mergeCell ref="B207:B208"/>
    <mergeCell ref="B209:B210"/>
    <mergeCell ref="B167:B193"/>
    <mergeCell ref="C167:C193"/>
    <mergeCell ref="E197:E198"/>
    <mergeCell ref="E205:E206"/>
    <mergeCell ref="E207:E208"/>
    <mergeCell ref="E209:E210"/>
    <mergeCell ref="G197:G198"/>
    <mergeCell ref="C197:C198"/>
    <mergeCell ref="D197:D198"/>
    <mergeCell ref="F197:F198"/>
    <mergeCell ref="B197:B198"/>
    <mergeCell ref="P239:P240"/>
    <mergeCell ref="O167:O193"/>
    <mergeCell ref="F176:F190"/>
    <mergeCell ref="H197:H198"/>
    <mergeCell ref="O200:O201"/>
    <mergeCell ref="P200:P201"/>
    <mergeCell ref="O202:O204"/>
    <mergeCell ref="P202:P204"/>
    <mergeCell ref="P207:P208"/>
    <mergeCell ref="O209:O210"/>
    <mergeCell ref="P209:P210"/>
    <mergeCell ref="B199:B204"/>
    <mergeCell ref="B205:B206"/>
    <mergeCell ref="A235:G235"/>
    <mergeCell ref="E219:E220"/>
    <mergeCell ref="E221:E233"/>
    <mergeCell ref="D205:D206"/>
    <mergeCell ref="G237:G238"/>
    <mergeCell ref="F237:F238"/>
    <mergeCell ref="C251:C254"/>
    <mergeCell ref="D239:D240"/>
    <mergeCell ref="O237:O238"/>
    <mergeCell ref="D249:D250"/>
    <mergeCell ref="A237:A238"/>
    <mergeCell ref="E237:E238"/>
    <mergeCell ref="C239:C240"/>
    <mergeCell ref="O239:O240"/>
    <mergeCell ref="C205:C206"/>
    <mergeCell ref="A221:A233"/>
    <mergeCell ref="B237:B238"/>
    <mergeCell ref="C237:C238"/>
    <mergeCell ref="D237:D238"/>
    <mergeCell ref="O251:O254"/>
    <mergeCell ref="O221:O233"/>
    <mergeCell ref="P221:P233"/>
    <mergeCell ref="O219:O220"/>
    <mergeCell ref="P237:P238"/>
    <mergeCell ref="P255:P259"/>
    <mergeCell ref="A251:A266"/>
    <mergeCell ref="O260:O266"/>
    <mergeCell ref="O255:O259"/>
    <mergeCell ref="O270:O271"/>
    <mergeCell ref="P270:P271"/>
    <mergeCell ref="A243:G243"/>
    <mergeCell ref="P260:P266"/>
    <mergeCell ref="K219:K220"/>
    <mergeCell ref="C219:C220"/>
    <mergeCell ref="D219:D220"/>
    <mergeCell ref="B219:B220"/>
    <mergeCell ref="P251:P254"/>
    <mergeCell ref="C255:C259"/>
    <mergeCell ref="P277:P278"/>
    <mergeCell ref="P219:P220"/>
    <mergeCell ref="C260:C264"/>
    <mergeCell ref="J270:J271"/>
    <mergeCell ref="D255:D259"/>
    <mergeCell ref="F262:F263"/>
    <mergeCell ref="D260:D264"/>
    <mergeCell ref="F273:F274"/>
    <mergeCell ref="D272:D274"/>
    <mergeCell ref="C272:C274"/>
    <mergeCell ref="O272:O274"/>
    <mergeCell ref="P272:P274"/>
    <mergeCell ref="B260:B266"/>
    <mergeCell ref="C249:C250"/>
    <mergeCell ref="B249:B250"/>
    <mergeCell ref="O277:O278"/>
    <mergeCell ref="C270:C271"/>
    <mergeCell ref="Q270:Q271"/>
    <mergeCell ref="E277:E278"/>
    <mergeCell ref="A285:G285"/>
    <mergeCell ref="A287:G287"/>
    <mergeCell ref="A291:A292"/>
    <mergeCell ref="A272:A283"/>
    <mergeCell ref="B272:B274"/>
    <mergeCell ref="B277:B278"/>
    <mergeCell ref="E272:E274"/>
    <mergeCell ref="P306:P309"/>
    <mergeCell ref="C297:C300"/>
    <mergeCell ref="C383:C384"/>
    <mergeCell ref="P297:P300"/>
    <mergeCell ref="D297:D300"/>
    <mergeCell ref="E291:E292"/>
    <mergeCell ref="P293:P296"/>
    <mergeCell ref="B313:B314"/>
    <mergeCell ref="Q369:Q372"/>
    <mergeCell ref="Q334:Q336"/>
    <mergeCell ref="P337:P338"/>
    <mergeCell ref="A311:G311"/>
    <mergeCell ref="F313:F314"/>
    <mergeCell ref="K313:K314"/>
    <mergeCell ref="G313:G314"/>
    <mergeCell ref="D313:D314"/>
    <mergeCell ref="Q332:Q333"/>
    <mergeCell ref="Q330:Q331"/>
    <mergeCell ref="A293:A309"/>
    <mergeCell ref="B306:B309"/>
    <mergeCell ref="B293:B305"/>
    <mergeCell ref="C350:C351"/>
    <mergeCell ref="H291:H292"/>
    <mergeCell ref="Q350:Q351"/>
    <mergeCell ref="Q352:Q362"/>
    <mergeCell ref="P320:P321"/>
    <mergeCell ref="H313:H314"/>
    <mergeCell ref="Q348:Q349"/>
    <mergeCell ref="Q291:Q292"/>
    <mergeCell ref="A315:A322"/>
    <mergeCell ref="B315:B316"/>
    <mergeCell ref="D330:D331"/>
    <mergeCell ref="F330:F331"/>
    <mergeCell ref="B368:B375"/>
    <mergeCell ref="B291:B292"/>
    <mergeCell ref="A368:A375"/>
    <mergeCell ref="O369:O375"/>
    <mergeCell ref="P369:P375"/>
    <mergeCell ref="P313:P314"/>
    <mergeCell ref="C318:C319"/>
    <mergeCell ref="P291:P292"/>
    <mergeCell ref="O297:O300"/>
    <mergeCell ref="D350:D351"/>
    <mergeCell ref="D293:D296"/>
    <mergeCell ref="P301:P305"/>
    <mergeCell ref="O306:O309"/>
    <mergeCell ref="P318:P319"/>
    <mergeCell ref="O301:O305"/>
    <mergeCell ref="J330:J331"/>
    <mergeCell ref="D334:D336"/>
    <mergeCell ref="C330:C331"/>
    <mergeCell ref="O337:O338"/>
    <mergeCell ref="E330:E331"/>
    <mergeCell ref="J366:J367"/>
    <mergeCell ref="O348:O349"/>
    <mergeCell ref="K348:K349"/>
    <mergeCell ref="B318:B319"/>
    <mergeCell ref="Q318:Q319"/>
    <mergeCell ref="Q320:Q321"/>
    <mergeCell ref="O330:O331"/>
    <mergeCell ref="Q301:Q305"/>
    <mergeCell ref="Q306:Q309"/>
    <mergeCell ref="G348:G349"/>
    <mergeCell ref="J348:J349"/>
    <mergeCell ref="O320:O321"/>
    <mergeCell ref="K330:K331"/>
    <mergeCell ref="Q315:Q316"/>
    <mergeCell ref="B330:B331"/>
    <mergeCell ref="H330:H331"/>
    <mergeCell ref="P330:P331"/>
    <mergeCell ref="A330:A331"/>
    <mergeCell ref="I330:I331"/>
    <mergeCell ref="P348:P349"/>
    <mergeCell ref="A332:A340"/>
    <mergeCell ref="A344:G344"/>
    <mergeCell ref="A348:A349"/>
    <mergeCell ref="E348:E349"/>
    <mergeCell ref="I313:I314"/>
    <mergeCell ref="J313:J314"/>
    <mergeCell ref="D318:D319"/>
    <mergeCell ref="E313:E314"/>
    <mergeCell ref="B337:B338"/>
    <mergeCell ref="B332:B336"/>
    <mergeCell ref="O315:O316"/>
    <mergeCell ref="P315:P316"/>
    <mergeCell ref="Q1182:Q1183"/>
    <mergeCell ref="Q998:Q999"/>
    <mergeCell ref="Q1076:Q1077"/>
    <mergeCell ref="Q984:Q985"/>
    <mergeCell ref="O332:O336"/>
    <mergeCell ref="P332:P336"/>
    <mergeCell ref="Q651:Q652"/>
    <mergeCell ref="Q673:Q674"/>
    <mergeCell ref="Q685:Q686"/>
    <mergeCell ref="Q692:Q693"/>
    <mergeCell ref="Q705:Q706"/>
    <mergeCell ref="Q711:Q712"/>
    <mergeCell ref="Q721:Q722"/>
    <mergeCell ref="Q737:Q738"/>
    <mergeCell ref="Q675:Q677"/>
    <mergeCell ref="Q551:Q552"/>
    <mergeCell ref="Q553:Q554"/>
    <mergeCell ref="Q562:Q566"/>
    <mergeCell ref="Q584:Q586"/>
    <mergeCell ref="Q587:Q588"/>
    <mergeCell ref="Q589:Q590"/>
    <mergeCell ref="Q601:Q602"/>
    <mergeCell ref="Q618:Q619"/>
    <mergeCell ref="Q694:Q697"/>
    <mergeCell ref="Q1070:Q1071"/>
    <mergeCell ref="Q1086:Q1087"/>
    <mergeCell ref="Q1098:Q1099"/>
    <mergeCell ref="Q1088:Q1090"/>
    <mergeCell ref="Q759:Q760"/>
    <mergeCell ref="Q766:Q767"/>
    <mergeCell ref="Q777:Q778"/>
    <mergeCell ref="P352:P362"/>
    <mergeCell ref="Q881:Q882"/>
    <mergeCell ref="Q780:Q783"/>
    <mergeCell ref="O886:O887"/>
    <mergeCell ref="O986:O987"/>
    <mergeCell ref="P986:P987"/>
    <mergeCell ref="P870:P871"/>
    <mergeCell ref="O870:O871"/>
    <mergeCell ref="K777:K778"/>
    <mergeCell ref="Q849:Q850"/>
    <mergeCell ref="Q859:Q860"/>
    <mergeCell ref="P780:P783"/>
    <mergeCell ref="O859:O860"/>
    <mergeCell ref="O881:O882"/>
    <mergeCell ref="K984:K985"/>
    <mergeCell ref="O974:O975"/>
    <mergeCell ref="P901:P902"/>
    <mergeCell ref="P914:P915"/>
    <mergeCell ref="O916:O917"/>
    <mergeCell ref="P916:P917"/>
    <mergeCell ref="Q953:Q955"/>
    <mergeCell ref="Q968:Q970"/>
    <mergeCell ref="P951:P952"/>
    <mergeCell ref="O963:O964"/>
    <mergeCell ref="P912:P913"/>
    <mergeCell ref="K974:K975"/>
    <mergeCell ref="O834:O835"/>
    <mergeCell ref="K834:K835"/>
    <mergeCell ref="Q883:Q888"/>
    <mergeCell ref="Q931:Q933"/>
    <mergeCell ref="O866:O867"/>
    <mergeCell ref="P866:P867"/>
    <mergeCell ref="O868:O869"/>
    <mergeCell ref="P868:P869"/>
    <mergeCell ref="E868:E869"/>
    <mergeCell ref="D868:D869"/>
    <mergeCell ref="C868:C869"/>
    <mergeCell ref="A881:A882"/>
    <mergeCell ref="E927:E928"/>
    <mergeCell ref="A929:A933"/>
    <mergeCell ref="E931:E933"/>
    <mergeCell ref="C931:C933"/>
    <mergeCell ref="D931:D933"/>
    <mergeCell ref="E859:E860"/>
    <mergeCell ref="C861:C863"/>
    <mergeCell ref="G859:G860"/>
    <mergeCell ref="O901:O902"/>
    <mergeCell ref="K881:K882"/>
    <mergeCell ref="E870:E871"/>
    <mergeCell ref="I892:I893"/>
    <mergeCell ref="O864:O865"/>
    <mergeCell ref="P864:P865"/>
    <mergeCell ref="E866:E867"/>
    <mergeCell ref="D866:D867"/>
    <mergeCell ref="J892:J893"/>
    <mergeCell ref="C901:C902"/>
    <mergeCell ref="J912:J913"/>
    <mergeCell ref="Q861:Q863"/>
    <mergeCell ref="Q864:Q865"/>
    <mergeCell ref="Q866:Q867"/>
    <mergeCell ref="Q868:Q869"/>
    <mergeCell ref="Q872:Q873"/>
    <mergeCell ref="P894:P898"/>
    <mergeCell ref="Q894:Q898"/>
    <mergeCell ref="O861:O863"/>
    <mergeCell ref="P861:P863"/>
    <mergeCell ref="H1018:H1019"/>
    <mergeCell ref="P1020:P1022"/>
    <mergeCell ref="O1020:O1022"/>
    <mergeCell ref="K627:K628"/>
    <mergeCell ref="Q22:Q23"/>
    <mergeCell ref="Q25:Q26"/>
    <mergeCell ref="Q51:Q52"/>
    <mergeCell ref="Q53:Q54"/>
    <mergeCell ref="Q78:Q79"/>
    <mergeCell ref="Q80:Q81"/>
    <mergeCell ref="Q111:Q112"/>
    <mergeCell ref="Q113:Q114"/>
    <mergeCell ref="Q116:Q117"/>
    <mergeCell ref="Q118:Q119"/>
    <mergeCell ref="Q150:Q151"/>
    <mergeCell ref="Q153:Q154"/>
    <mergeCell ref="Q155:Q156"/>
    <mergeCell ref="Q337:Q338"/>
    <mergeCell ref="Q836:Q841"/>
    <mergeCell ref="Q870:Q871"/>
    <mergeCell ref="Q616:Q617"/>
    <mergeCell ref="Q724:Q733"/>
    <mergeCell ref="Q761:Q762"/>
    <mergeCell ref="Q293:Q296"/>
    <mergeCell ref="Q297:Q300"/>
    <mergeCell ref="Q277:Q278"/>
    <mergeCell ref="Q219:Q220"/>
    <mergeCell ref="Q221:Q233"/>
    <mergeCell ref="Q92:Q105"/>
    <mergeCell ref="Q109:Q110"/>
    <mergeCell ref="Q239:Q240"/>
    <mergeCell ref="Q559:Q560"/>
    <mergeCell ref="I606:I607"/>
    <mergeCell ref="I616:I617"/>
    <mergeCell ref="Q574:Q575"/>
    <mergeCell ref="H927:H928"/>
    <mergeCell ref="Q951:Q952"/>
    <mergeCell ref="Q963:Q964"/>
    <mergeCell ref="Q974:Q975"/>
    <mergeCell ref="Q929:Q930"/>
    <mergeCell ref="O931:O933"/>
    <mergeCell ref="P931:P933"/>
    <mergeCell ref="P899:P900"/>
    <mergeCell ref="P892:P893"/>
    <mergeCell ref="Q805:Q806"/>
    <mergeCell ref="O548:O550"/>
    <mergeCell ref="H436:H437"/>
    <mergeCell ref="I436:I437"/>
    <mergeCell ref="H410:H411"/>
    <mergeCell ref="O562:O566"/>
    <mergeCell ref="O390:O392"/>
    <mergeCell ref="P941:P943"/>
    <mergeCell ref="P963:P964"/>
    <mergeCell ref="K574:K575"/>
    <mergeCell ref="O574:O575"/>
    <mergeCell ref="Q899:Q900"/>
    <mergeCell ref="Q901:Q902"/>
    <mergeCell ref="Q991:Q992"/>
    <mergeCell ref="Q1007:Q1008"/>
    <mergeCell ref="Q914:Q915"/>
    <mergeCell ref="Q1026:Q1027"/>
    <mergeCell ref="Q986:Q987"/>
    <mergeCell ref="Q1009:Q1010"/>
    <mergeCell ref="Q892:Q893"/>
    <mergeCell ref="Q912:Q913"/>
    <mergeCell ref="Q927:Q928"/>
    <mergeCell ref="Q937:Q938"/>
    <mergeCell ref="Q939:Q940"/>
    <mergeCell ref="Q941:Q943"/>
    <mergeCell ref="Q916:Q917"/>
    <mergeCell ref="Q993:Q995"/>
    <mergeCell ref="Q996:Q997"/>
    <mergeCell ref="P991:P992"/>
    <mergeCell ref="Q249:Q250"/>
    <mergeCell ref="Q237:Q238"/>
    <mergeCell ref="Q197:Q198"/>
    <mergeCell ref="Q146:Q149"/>
    <mergeCell ref="Q745:Q747"/>
    <mergeCell ref="Q749:Q751"/>
    <mergeCell ref="Q313:Q314"/>
    <mergeCell ref="Q834:Q835"/>
    <mergeCell ref="Q415:Q418"/>
    <mergeCell ref="Q386:Q389"/>
    <mergeCell ref="Q390:Q392"/>
    <mergeCell ref="Q383:Q384"/>
    <mergeCell ref="Q396:Q397"/>
    <mergeCell ref="Q784:Q787"/>
    <mergeCell ref="Q793:Q795"/>
    <mergeCell ref="Q410:Q411"/>
    <mergeCell ref="Q422:Q423"/>
    <mergeCell ref="Q436:Q437"/>
    <mergeCell ref="Q687:Q688"/>
    <mergeCell ref="Q450:Q451"/>
    <mergeCell ref="Q465:Q466"/>
    <mergeCell ref="Q498:Q499"/>
    <mergeCell ref="Q768:Q769"/>
    <mergeCell ref="Q525:Q526"/>
    <mergeCell ref="Q546:Q547"/>
    <mergeCell ref="Q582:Q583"/>
    <mergeCell ref="Q366:Q367"/>
    <mergeCell ref="Q251:Q254"/>
    <mergeCell ref="Q255:Q259"/>
    <mergeCell ref="Q260:Q266"/>
    <mergeCell ref="Q791:Q792"/>
    <mergeCell ref="K559:K560"/>
    <mergeCell ref="E562:E566"/>
    <mergeCell ref="A568:G568"/>
    <mergeCell ref="A582:A583"/>
    <mergeCell ref="C553:C554"/>
    <mergeCell ref="B589:B590"/>
    <mergeCell ref="E582:E583"/>
    <mergeCell ref="E452:E453"/>
    <mergeCell ref="E454:E455"/>
    <mergeCell ref="B450:B451"/>
    <mergeCell ref="C450:C451"/>
    <mergeCell ref="A540:G540"/>
    <mergeCell ref="A525:A526"/>
    <mergeCell ref="E438:E441"/>
    <mergeCell ref="H498:H499"/>
    <mergeCell ref="J410:J411"/>
    <mergeCell ref="I559:I560"/>
    <mergeCell ref="J559:J560"/>
    <mergeCell ref="A561:A566"/>
    <mergeCell ref="A557:G557"/>
    <mergeCell ref="A452:A457"/>
    <mergeCell ref="A412:A418"/>
    <mergeCell ref="A420:G420"/>
    <mergeCell ref="A422:A423"/>
    <mergeCell ref="C587:C588"/>
    <mergeCell ref="H422:H423"/>
    <mergeCell ref="J525:J526"/>
    <mergeCell ref="J498:J499"/>
    <mergeCell ref="K465:K466"/>
    <mergeCell ref="A448:G448"/>
    <mergeCell ref="A450:A451"/>
    <mergeCell ref="E450:E451"/>
    <mergeCell ref="C332:C333"/>
    <mergeCell ref="D454:D455"/>
    <mergeCell ref="C454:C455"/>
    <mergeCell ref="B467:B494"/>
    <mergeCell ref="F565:F566"/>
    <mergeCell ref="F525:F526"/>
    <mergeCell ref="E334:E336"/>
    <mergeCell ref="C334:C336"/>
    <mergeCell ref="C337:C338"/>
    <mergeCell ref="D337:D338"/>
    <mergeCell ref="E337:E338"/>
    <mergeCell ref="F334:F335"/>
    <mergeCell ref="B410:B411"/>
    <mergeCell ref="C410:C411"/>
    <mergeCell ref="E442:E444"/>
    <mergeCell ref="D436:D437"/>
    <mergeCell ref="A430:G430"/>
    <mergeCell ref="A432:G432"/>
    <mergeCell ref="A404:G404"/>
    <mergeCell ref="A406:G406"/>
    <mergeCell ref="D527:D538"/>
    <mergeCell ref="E366:E367"/>
    <mergeCell ref="P993:P995"/>
    <mergeCell ref="B996:B997"/>
    <mergeCell ref="C996:C997"/>
    <mergeCell ref="D996:D997"/>
    <mergeCell ref="E996:E997"/>
    <mergeCell ref="O996:O997"/>
    <mergeCell ref="P996:P997"/>
    <mergeCell ref="P410:P411"/>
    <mergeCell ref="P396:P397"/>
    <mergeCell ref="B866:B867"/>
    <mergeCell ref="B868:B869"/>
    <mergeCell ref="B872:B873"/>
    <mergeCell ref="O872:O873"/>
    <mergeCell ref="P872:P873"/>
    <mergeCell ref="E886:E887"/>
    <mergeCell ref="B901:B902"/>
    <mergeCell ref="C892:C893"/>
    <mergeCell ref="G912:G913"/>
    <mergeCell ref="O894:O898"/>
    <mergeCell ref="P559:P560"/>
    <mergeCell ref="C589:C590"/>
    <mergeCell ref="P562:P566"/>
    <mergeCell ref="O559:O560"/>
    <mergeCell ref="O551:O552"/>
    <mergeCell ref="O584:O586"/>
    <mergeCell ref="C576:C578"/>
    <mergeCell ref="D576:D578"/>
    <mergeCell ref="P984:P985"/>
    <mergeCell ref="J937:J938"/>
    <mergeCell ref="J963:J964"/>
    <mergeCell ref="P974:P975"/>
    <mergeCell ref="P939:P940"/>
    <mergeCell ref="F477:F488"/>
    <mergeCell ref="E601:E602"/>
    <mergeCell ref="A604:G604"/>
    <mergeCell ref="A606:A607"/>
    <mergeCell ref="A542:G542"/>
    <mergeCell ref="D687:D688"/>
    <mergeCell ref="H627:H628"/>
    <mergeCell ref="I627:I628"/>
    <mergeCell ref="B618:B619"/>
    <mergeCell ref="J927:J928"/>
    <mergeCell ref="E929:E930"/>
    <mergeCell ref="C929:C930"/>
    <mergeCell ref="I927:I928"/>
    <mergeCell ref="B929:B933"/>
    <mergeCell ref="E872:E873"/>
    <mergeCell ref="D872:D873"/>
    <mergeCell ref="C872:C873"/>
    <mergeCell ref="A861:A873"/>
    <mergeCell ref="B861:B863"/>
    <mergeCell ref="B864:B865"/>
    <mergeCell ref="A574:A575"/>
    <mergeCell ref="B574:B575"/>
    <mergeCell ref="C574:C575"/>
    <mergeCell ref="D574:D575"/>
    <mergeCell ref="E574:E575"/>
    <mergeCell ref="F574:F575"/>
    <mergeCell ref="G574:G575"/>
    <mergeCell ref="H574:H575"/>
    <mergeCell ref="I574:I575"/>
    <mergeCell ref="J574:J575"/>
    <mergeCell ref="D589:D590"/>
    <mergeCell ref="E584:E586"/>
    <mergeCell ref="O998:O999"/>
    <mergeCell ref="P998:P999"/>
    <mergeCell ref="F1222:F1223"/>
    <mergeCell ref="E1221:E1223"/>
    <mergeCell ref="D1221:D1223"/>
    <mergeCell ref="C1221:C1223"/>
    <mergeCell ref="E1224:E1226"/>
    <mergeCell ref="D1224:D1226"/>
    <mergeCell ref="C1224:C1226"/>
    <mergeCell ref="F1225:F1226"/>
    <mergeCell ref="O1221:O1223"/>
    <mergeCell ref="O1224:O1226"/>
    <mergeCell ref="P1221:P1223"/>
    <mergeCell ref="P1224:P1226"/>
    <mergeCell ref="I984:I985"/>
    <mergeCell ref="J984:J985"/>
    <mergeCell ref="O1076:O1077"/>
    <mergeCell ref="H1070:H1071"/>
    <mergeCell ref="H1007:H1008"/>
    <mergeCell ref="K1026:K1027"/>
    <mergeCell ref="I991:I992"/>
    <mergeCell ref="J991:J992"/>
    <mergeCell ref="K991:K992"/>
    <mergeCell ref="A989:G989"/>
    <mergeCell ref="A991:A992"/>
    <mergeCell ref="E991:E992"/>
    <mergeCell ref="E993:E995"/>
    <mergeCell ref="D993:D995"/>
    <mergeCell ref="C993:C995"/>
    <mergeCell ref="B993:B995"/>
    <mergeCell ref="O993:O995"/>
    <mergeCell ref="B1115:B1116"/>
    <mergeCell ref="J1207:J1208"/>
    <mergeCell ref="Q1020:Q1022"/>
    <mergeCell ref="F1018:F1019"/>
    <mergeCell ref="A1207:A1208"/>
    <mergeCell ref="B1207:B1208"/>
    <mergeCell ref="D1169:D1170"/>
    <mergeCell ref="I1086:I1087"/>
    <mergeCell ref="J1038:J1039"/>
    <mergeCell ref="Q1207:Q1208"/>
    <mergeCell ref="C1171:C1175"/>
    <mergeCell ref="D1026:D1027"/>
    <mergeCell ref="G1026:G1027"/>
    <mergeCell ref="P1076:P1077"/>
    <mergeCell ref="C1070:C1071"/>
    <mergeCell ref="D1070:D1071"/>
    <mergeCell ref="O1070:O1071"/>
    <mergeCell ref="P1070:P1071"/>
    <mergeCell ref="D1044:D1045"/>
    <mergeCell ref="I1044:I1045"/>
    <mergeCell ref="P1026:P1027"/>
    <mergeCell ref="P1100:P1105"/>
    <mergeCell ref="J1076:J1077"/>
    <mergeCell ref="C1123:C1124"/>
    <mergeCell ref="H1098:H1099"/>
    <mergeCell ref="G1123:G1124"/>
    <mergeCell ref="H1123:H1124"/>
    <mergeCell ref="K1207:K1208"/>
    <mergeCell ref="O1207:O1208"/>
    <mergeCell ref="P1207:P1208"/>
    <mergeCell ref="Q1044:Q1045"/>
    <mergeCell ref="Q1038:Q1039"/>
    <mergeCell ref="Q1154:Q1155"/>
    <mergeCell ref="C1209:C1211"/>
    <mergeCell ref="C1316:C1317"/>
    <mergeCell ref="D1310:D1312"/>
    <mergeCell ref="O1235:O1236"/>
    <mergeCell ref="O1237:O1240"/>
    <mergeCell ref="K1244:K1245"/>
    <mergeCell ref="Q1321:Q1322"/>
    <mergeCell ref="P1344:P1345"/>
    <mergeCell ref="Q1354:Q1355"/>
    <mergeCell ref="Q1115:Q1116"/>
    <mergeCell ref="Q1018:Q1019"/>
    <mergeCell ref="H1044:H1045"/>
    <mergeCell ref="J1044:J1045"/>
    <mergeCell ref="C1440:C1441"/>
    <mergeCell ref="O1440:O1441"/>
    <mergeCell ref="A1444:G1444"/>
    <mergeCell ref="A1446:G1446"/>
    <mergeCell ref="O1434:O1435"/>
    <mergeCell ref="P1434:P1435"/>
    <mergeCell ref="G1434:G1435"/>
    <mergeCell ref="P1018:P1019"/>
    <mergeCell ref="B1020:B1022"/>
    <mergeCell ref="I1018:I1019"/>
    <mergeCell ref="J1018:J1019"/>
    <mergeCell ref="Q1219:Q1220"/>
    <mergeCell ref="O1018:O1019"/>
    <mergeCell ref="D1207:D1208"/>
    <mergeCell ref="E1207:E1208"/>
    <mergeCell ref="F1207:F1208"/>
    <mergeCell ref="G1207:G1208"/>
    <mergeCell ref="H1207:H1208"/>
    <mergeCell ref="I1207:I1208"/>
    <mergeCell ref="B1221:B1226"/>
    <mergeCell ref="D1249:D1250"/>
    <mergeCell ref="O1246:O1248"/>
    <mergeCell ref="P1246:P1248"/>
    <mergeCell ref="P1258:P1259"/>
    <mergeCell ref="P1237:P1240"/>
    <mergeCell ref="P1235:P1236"/>
    <mergeCell ref="O1256:O1257"/>
    <mergeCell ref="P1256:P1257"/>
    <mergeCell ref="Q1254:Q1255"/>
    <mergeCell ref="Q1256:Q1257"/>
    <mergeCell ref="Q1318:Q1319"/>
    <mergeCell ref="Q1277:Q1278"/>
    <mergeCell ref="Q1336:Q1337"/>
    <mergeCell ref="Q1316:Q1317"/>
    <mergeCell ref="O1283:O1284"/>
    <mergeCell ref="O1294:O1295"/>
    <mergeCell ref="G1336:G1337"/>
    <mergeCell ref="H1336:H1337"/>
    <mergeCell ref="F1336:F1337"/>
    <mergeCell ref="J1316:J1317"/>
    <mergeCell ref="K1316:K1317"/>
    <mergeCell ref="E1318:E1319"/>
    <mergeCell ref="O1318:O1319"/>
    <mergeCell ref="P1318:P1319"/>
    <mergeCell ref="P1294:P1295"/>
    <mergeCell ref="C1321:C1322"/>
    <mergeCell ref="D1321:D1322"/>
    <mergeCell ref="F1283:F1284"/>
    <mergeCell ref="O1258:O1259"/>
    <mergeCell ref="B1277:B1278"/>
    <mergeCell ref="F1247:F1248"/>
    <mergeCell ref="Q1169:Q1170"/>
    <mergeCell ref="Q1179:Q1180"/>
    <mergeCell ref="Q1283:Q1284"/>
    <mergeCell ref="Q1294:Q1295"/>
    <mergeCell ref="Q1224:Q1226"/>
    <mergeCell ref="Q1221:Q1223"/>
    <mergeCell ref="Q1191:Q1192"/>
    <mergeCell ref="Q1197:Q1198"/>
    <mergeCell ref="J1235:J1236"/>
    <mergeCell ref="G1277:G1278"/>
    <mergeCell ref="J1179:J1180"/>
    <mergeCell ref="K1179:K1180"/>
    <mergeCell ref="I1159:I1160"/>
    <mergeCell ref="O1171:O1175"/>
    <mergeCell ref="P1219:P1220"/>
    <mergeCell ref="H1283:H1284"/>
    <mergeCell ref="Q1235:Q1236"/>
    <mergeCell ref="Q1244:Q1245"/>
    <mergeCell ref="Q1267:Q1268"/>
    <mergeCell ref="G1159:G1160"/>
    <mergeCell ref="H1219:H1220"/>
    <mergeCell ref="P1197:P1198"/>
    <mergeCell ref="O1182:O1183"/>
    <mergeCell ref="Q1246:Q1248"/>
    <mergeCell ref="P1179:P1180"/>
    <mergeCell ref="J1277:J1278"/>
    <mergeCell ref="H1277:H1278"/>
    <mergeCell ref="I1277:I1278"/>
    <mergeCell ref="I1267:I1268"/>
    <mergeCell ref="K1197:K1198"/>
    <mergeCell ref="O1197:O1198"/>
    <mergeCell ref="P1169:P1170"/>
    <mergeCell ref="O1381:O1382"/>
    <mergeCell ref="P1381:P1382"/>
    <mergeCell ref="D1401:D1402"/>
    <mergeCell ref="A1450:A1451"/>
    <mergeCell ref="B1450:B1451"/>
    <mergeCell ref="C1450:C1451"/>
    <mergeCell ref="D1450:D1451"/>
    <mergeCell ref="C1436:C1437"/>
    <mergeCell ref="D1436:D1437"/>
    <mergeCell ref="C1438:C1439"/>
    <mergeCell ref="D1438:D1439"/>
    <mergeCell ref="I1434:I1435"/>
    <mergeCell ref="D1386:D1387"/>
    <mergeCell ref="O1386:O1387"/>
    <mergeCell ref="K1381:K1382"/>
    <mergeCell ref="D1394:D1396"/>
    <mergeCell ref="C1388:C1390"/>
    <mergeCell ref="O1450:O1451"/>
    <mergeCell ref="P1450:P1451"/>
    <mergeCell ref="B1427:B1430"/>
    <mergeCell ref="E1450:E1451"/>
    <mergeCell ref="F1450:F1451"/>
    <mergeCell ref="C1401:C1402"/>
    <mergeCell ref="P1386:P1387"/>
    <mergeCell ref="A1432:G1432"/>
    <mergeCell ref="A1434:A1435"/>
    <mergeCell ref="E1434:E1435"/>
    <mergeCell ref="A1436:A1442"/>
    <mergeCell ref="E1440:E1441"/>
    <mergeCell ref="C1394:C1396"/>
    <mergeCell ref="F1434:F1435"/>
    <mergeCell ref="P1419:P1420"/>
    <mergeCell ref="Q1478:Q1479"/>
    <mergeCell ref="O1459:O1461"/>
    <mergeCell ref="P1459:P1461"/>
    <mergeCell ref="Q1459:Q1461"/>
    <mergeCell ref="A1463:G1463"/>
    <mergeCell ref="A1465:G1465"/>
    <mergeCell ref="A1455:G1455"/>
    <mergeCell ref="A1471:A1474"/>
    <mergeCell ref="B1471:B1474"/>
    <mergeCell ref="Q1471:Q1474"/>
    <mergeCell ref="A1459:A1461"/>
    <mergeCell ref="A1469:A1470"/>
    <mergeCell ref="B1469:B1470"/>
    <mergeCell ref="C1469:C1470"/>
    <mergeCell ref="D1469:D1470"/>
    <mergeCell ref="E1469:E1470"/>
    <mergeCell ref="F1469:F1470"/>
    <mergeCell ref="G1469:G1470"/>
    <mergeCell ref="B1457:B1458"/>
    <mergeCell ref="C1457:C1458"/>
    <mergeCell ref="D1457:D1458"/>
    <mergeCell ref="E1457:E1458"/>
    <mergeCell ref="F1457:F1458"/>
    <mergeCell ref="G1457:G1458"/>
    <mergeCell ref="H1457:H1458"/>
    <mergeCell ref="Q1469:Q1470"/>
    <mergeCell ref="A1457:A1458"/>
    <mergeCell ref="I1457:I1458"/>
    <mergeCell ref="J1457:J1458"/>
    <mergeCell ref="K1457:K1458"/>
    <mergeCell ref="O1457:O1458"/>
    <mergeCell ref="P1457:P1458"/>
    <mergeCell ref="Q1457:Q1458"/>
    <mergeCell ref="Q1419:Q1420"/>
    <mergeCell ref="Q1434:Q1435"/>
    <mergeCell ref="Q1450:Q1451"/>
    <mergeCell ref="K1401:K1402"/>
    <mergeCell ref="O1401:O1402"/>
    <mergeCell ref="O1394:O1396"/>
    <mergeCell ref="O1438:O1439"/>
    <mergeCell ref="P1438:P1439"/>
    <mergeCell ref="Q1436:Q1437"/>
    <mergeCell ref="Q1438:Q1439"/>
    <mergeCell ref="J1450:J1451"/>
    <mergeCell ref="K1450:K1451"/>
    <mergeCell ref="P1394:P1396"/>
    <mergeCell ref="P1391:P1393"/>
    <mergeCell ref="O1383:O1385"/>
    <mergeCell ref="P1383:P1385"/>
    <mergeCell ref="Q1421:Q1426"/>
    <mergeCell ref="P1401:P1402"/>
    <mergeCell ref="K1419:K1420"/>
    <mergeCell ref="A1290:G1290"/>
    <mergeCell ref="A1288:G1288"/>
    <mergeCell ref="A1080:G1080"/>
    <mergeCell ref="J1419:J1420"/>
    <mergeCell ref="D1354:D1355"/>
    <mergeCell ref="G1401:G1402"/>
    <mergeCell ref="H1401:H1402"/>
    <mergeCell ref="I1401:I1402"/>
    <mergeCell ref="J1401:J1402"/>
    <mergeCell ref="B1459:B1461"/>
    <mergeCell ref="K1294:K1295"/>
    <mergeCell ref="A1478:A1479"/>
    <mergeCell ref="B1478:B1479"/>
    <mergeCell ref="C1478:C1479"/>
    <mergeCell ref="D1478:D1479"/>
    <mergeCell ref="E1478:E1479"/>
    <mergeCell ref="F1478:F1479"/>
    <mergeCell ref="G1478:G1479"/>
    <mergeCell ref="I1478:I1479"/>
    <mergeCell ref="J1478:J1479"/>
    <mergeCell ref="K1478:K1479"/>
    <mergeCell ref="I1450:I1451"/>
    <mergeCell ref="I1469:I1470"/>
    <mergeCell ref="J1469:J1470"/>
    <mergeCell ref="K1469:K1470"/>
    <mergeCell ref="E1401:E1402"/>
    <mergeCell ref="E1381:E1382"/>
    <mergeCell ref="K1354:K1355"/>
    <mergeCell ref="A1330:G1330"/>
    <mergeCell ref="A1332:G1332"/>
    <mergeCell ref="C1207:C1208"/>
    <mergeCell ref="A1229:G1229"/>
    <mergeCell ref="P1310:P1312"/>
    <mergeCell ref="F1401:F1402"/>
    <mergeCell ref="G1450:G1451"/>
    <mergeCell ref="H1450:H1451"/>
    <mergeCell ref="E1321:E1322"/>
    <mergeCell ref="O1321:O1322"/>
    <mergeCell ref="P1321:P1322"/>
    <mergeCell ref="H1434:H1435"/>
    <mergeCell ref="E1436:E1437"/>
    <mergeCell ref="E1310:E1312"/>
    <mergeCell ref="P1338:P1339"/>
    <mergeCell ref="P1367:P1369"/>
    <mergeCell ref="O1344:O1345"/>
    <mergeCell ref="Q1367:Q1369"/>
    <mergeCell ref="O1338:O1339"/>
    <mergeCell ref="A1570:G1570"/>
    <mergeCell ref="A1568:G1568"/>
    <mergeCell ref="A1546:G1546"/>
    <mergeCell ref="A1544:G1544"/>
    <mergeCell ref="A1476:G1476"/>
    <mergeCell ref="A1399:G1399"/>
    <mergeCell ref="Q1410:Q1411"/>
    <mergeCell ref="Q1401:Q1402"/>
    <mergeCell ref="O1469:O1470"/>
    <mergeCell ref="P1469:P1470"/>
    <mergeCell ref="Q1452:Q1453"/>
    <mergeCell ref="Q1403:Q1405"/>
    <mergeCell ref="Q1383:Q1385"/>
    <mergeCell ref="Q1386:Q1387"/>
    <mergeCell ref="Q1388:Q1390"/>
    <mergeCell ref="Q1391:Q1393"/>
    <mergeCell ref="Q1394:Q1396"/>
    <mergeCell ref="Q627:Q628"/>
    <mergeCell ref="Q640:Q641"/>
    <mergeCell ref="Q739:Q741"/>
    <mergeCell ref="Q742:Q744"/>
    <mergeCell ref="P629:P636"/>
    <mergeCell ref="I640:I641"/>
    <mergeCell ref="Q598:Q599"/>
    <mergeCell ref="Q606:Q607"/>
    <mergeCell ref="O576:O578"/>
    <mergeCell ref="P576:P578"/>
    <mergeCell ref="A580:G580"/>
    <mergeCell ref="O1478:O1479"/>
    <mergeCell ref="P1478:P1479"/>
    <mergeCell ref="H1469:H1470"/>
    <mergeCell ref="P929:P930"/>
    <mergeCell ref="D1471:D1474"/>
    <mergeCell ref="C1471:C1474"/>
    <mergeCell ref="F1471:F1473"/>
    <mergeCell ref="O1471:O1474"/>
    <mergeCell ref="P1471:P1474"/>
    <mergeCell ref="H1478:H1479"/>
    <mergeCell ref="F1316:F1317"/>
    <mergeCell ref="G1316:G1317"/>
    <mergeCell ref="H1316:H1317"/>
    <mergeCell ref="P1307:P1309"/>
    <mergeCell ref="O1336:O1337"/>
    <mergeCell ref="O939:O940"/>
    <mergeCell ref="O941:O943"/>
    <mergeCell ref="P1336:P1337"/>
    <mergeCell ref="P1372:P1373"/>
    <mergeCell ref="E1372:E1373"/>
    <mergeCell ref="D1372:D1373"/>
    <mergeCell ref="P807:P829"/>
    <mergeCell ref="F836:F838"/>
    <mergeCell ref="A671:G671"/>
    <mergeCell ref="F705:F706"/>
    <mergeCell ref="K616:K617"/>
    <mergeCell ref="F673:F674"/>
    <mergeCell ref="A594:G594"/>
    <mergeCell ref="O616:O617"/>
    <mergeCell ref="P616:P617"/>
    <mergeCell ref="D723:D733"/>
    <mergeCell ref="J640:J641"/>
    <mergeCell ref="P618:P619"/>
    <mergeCell ref="O618:O619"/>
    <mergeCell ref="P574:P575"/>
    <mergeCell ref="O589:O590"/>
    <mergeCell ref="P589:P590"/>
    <mergeCell ref="O582:O583"/>
    <mergeCell ref="O587:O588"/>
    <mergeCell ref="P584:P586"/>
    <mergeCell ref="P587:P588"/>
    <mergeCell ref="A584:A590"/>
    <mergeCell ref="B584:B586"/>
    <mergeCell ref="E576:E578"/>
    <mergeCell ref="B576:B578"/>
    <mergeCell ref="A576:A578"/>
    <mergeCell ref="F654:F655"/>
    <mergeCell ref="D739:D741"/>
    <mergeCell ref="C584:C586"/>
    <mergeCell ref="B673:B674"/>
    <mergeCell ref="O724:O733"/>
    <mergeCell ref="F675:F677"/>
    <mergeCell ref="P687:P688"/>
  </mergeCells>
  <printOptions horizontalCentered="1" verticalCentered="1"/>
  <pageMargins left="0.55000000000000004" right="0.55000000000000004" top="0.7" bottom="0.8" header="0.47244094488188998" footer="0.59055118110236204"/>
  <pageSetup paperSize="9" scale="33" orientation="landscape" r:id="rId1"/>
  <headerFooter scaleWithDoc="0" alignWithMargins="0">
    <oddHeader>&amp;LAnexa 7.3</oddHeader>
    <oddFooter>&amp;LToate costurile sunt exprimate in preturi curente, in EUR, anul de baza - 2013</oddFooter>
  </headerFooter>
  <rowBreaks count="54" manualBreakCount="54">
    <brk id="31" max="16383" man="1"/>
    <brk id="58" max="16383" man="1"/>
    <brk id="86" max="16383" man="1"/>
    <brk id="108" max="16383" man="1"/>
    <brk id="123" max="16383" man="1"/>
    <brk id="143" max="16383" man="1"/>
    <brk id="161" max="16383" man="1"/>
    <brk id="195" max="16383" man="1"/>
    <brk id="215" max="16383" man="1"/>
    <brk id="245" max="16383" man="1"/>
    <brk id="269" max="16383" man="1"/>
    <brk id="287" max="16383" man="1"/>
    <brk id="326" max="16383" man="1"/>
    <brk id="344" max="16383" man="1"/>
    <brk id="394" max="18" man="1"/>
    <brk id="406" max="16383" man="1"/>
    <brk id="432" max="16383" man="1"/>
    <brk id="461" max="16383" man="1"/>
    <brk id="496" max="16383" man="1"/>
    <brk id="542" max="16383" man="1"/>
    <brk id="570" max="16383" man="1"/>
    <brk id="594" max="16383" man="1"/>
    <brk id="623" max="16383" man="1"/>
    <brk id="647" max="16383" man="1"/>
    <brk id="681" max="16383" man="1"/>
    <brk id="717" max="16383" man="1"/>
    <brk id="755" max="16383" man="1"/>
    <brk id="790" max="16383" man="1"/>
    <brk id="801" max="16383" man="1"/>
    <brk id="845" max="16383" man="1"/>
    <brk id="877" max="16383" man="1"/>
    <brk id="908" max="16383" man="1"/>
    <brk id="923" max="16383" man="1"/>
    <brk id="947" max="16383" man="1"/>
    <brk id="980" max="16383" man="1"/>
    <brk id="1003" max="16383" man="1"/>
    <brk id="1034" max="16383" man="1"/>
    <brk id="1082" max="16383" man="1"/>
    <brk id="1111" max="16383" man="1"/>
    <brk id="1132" max="16383" man="1"/>
    <brk id="1165" max="16383" man="1"/>
    <brk id="1203" max="16383" man="1"/>
    <brk id="1232" max="16383" man="1"/>
    <brk id="1273" max="16383" man="1"/>
    <brk id="1290" max="16383" man="1"/>
    <brk id="1315" max="16383" man="1"/>
    <brk id="1332" max="16383" man="1"/>
    <brk id="1350" max="16383" man="1"/>
    <brk id="1377" max="16383" man="1"/>
    <brk id="1400" max="16383" man="1"/>
    <brk id="1446" max="16383" man="1"/>
    <brk id="1447" max="16383" man="1"/>
    <brk id="1488" max="16383" man="1"/>
    <brk id="1536" max="16383" man="1"/>
  </rowBreaks>
  <ignoredErrors>
    <ignoredError sqref="J513 K870 J899:K899 J901:K901 J1127 M1195 J1440 M1271 K475 K1344 K481:K482 J25 J508 K1439 J205:J209 J552 J587:J589 J633:K633 M645 J389 J400 K441 L448 K664 L671:M671 J786 K781 K785 M610 L56 J275 J1103 L256:L258 K811 K840 J1391:J1393 L483 L520 K1339 J745 J202 J915 J996:J998 J1256:J1257 L1486 J1483 J1516 P1563:P1564 J1323 J1369:J1370 K469 J1051 J1052:K1052 K1049 J1372:J1373 M1375 J444 L480 J871:N873 J930 J826:J827 J839 K1306" formula="1"/>
    <ignoredError sqref="D500 D527:E527 D871 D900 D903:D904 D941 J968:K968 D976:E976 D1078:E1078 D1100:E1100 D1106:E1106 D1182 D1199:E1199 J1246:K1246 D1285:E1285 D1296 J1318:K1318 D1323 D1356 D255 D260 D272 D276 D293 K320 D320:D322 I320:I321 D1250 D1252 D251 J37:J43 K37:L38 D37 D51 J64:L65 J82:M82 J111:K111 J112 J119:K119 D155:D157 J168:L174 K167:L167 J175 L175:L176 J177:L179 D584 D64 D167 D206:D210 D454 D608:E608 D675:E675 D694:E694 D92 K601:L601 D723 J78:K81 J113:K115 K116:K118 L968 K146:K149 J117 J54:K54 J50:K52 K53 J317 L317:M317 J321 J1259:K1259 K1324:K1328 K618 J851:P851 K1224:K1226 K40:L44 J67:L72 J184:L193 J181:L183 J180:K180 J176:K176 D836:E836 K151:K157 E22:E27 E50:E54 E78:E82 E111:E119 D146:D151 E146:E157 E205:E211 E239:E241 E272:E283 E315:E322 E339:E340 E368:E369 D398:E402 D426:E428 E452:E456 D561:E561 E584:E590 E713 D768:E768 E870:E872 E899:E904 E918:E919 E939:E943 E1009:E1010 E1144 D1161:E1161 E1181:E1183 D1246:E1246 E1269 E1338:E1346 D1403:E1411 E1440:E1442 E199 E202 J315:L316 O316 J318:L319 O319 E332 J333:K333 K338 E501 D793:E797 E916 E993 E998 D1125:D1127 E1126:E1128 J1221:K1221 E1221 J1222:L1222 E1224 E1249:E1259 K1247:K1255 J1251:J1252 E1323:E1328 E1318 K1319:K1321 E1320:J1320 L1320 E1321 E1459 E1460:E1461 J1224 D1480:E1480 E1483 D1501:E1501 D1528:E1528 D1530:E1530 D1560:E1561 E1562:E1565 K969 J332:K332 J334:K335 J336:K336 E334 E1046 D1028:E1028 E1367 E1370 D82 E840:E841 K39:L39 J66:L66 D221 D424:E424 D425 J1223:K1223 D1372:E1372 D457:E457 D301 J1421 K1421:N1421 J1424:L1426 K1422:L1422 J1422 D1421 M1221:M1227 J1227:L1227 D1212 D1154 D1020 D894:E898 J1209:K1209 K1210 M1209:M1210 K1423:L1423 K1211:M1211 J862:M862 J869:M869 K868:M868 M50:M54 M78:M81 M111:M115 M315:M316 M332:M338 M116:M119 M318:M322 D562:E566 M339:M340" unlockedFormula="1"/>
    <ignoredError sqref="N364 M1432:N1432 O206 O208 O210 M1064 N875" formulaRange="1"/>
    <ignoredError sqref="D1237 D887 D22 D119 D779 D111:D117 D315 D317 D851 D863:H863 D861:I861 D864:I865 N864:P865 D866:E866 D868:I868 N868:P869 D869:E869 G869:I869" numberStoredAsText="1"/>
    <ignoredError sqref="D118 J861:M861 J863:M863 J864:M865" numberStoredAsText="1" unlockedFormula="1"/>
    <ignoredError sqref="J320 K321 K112 K175 J116 J118 J53 K317 K1322:K1323 J337:J338 J1225:J1226 K150 J1249 K1256:K1257 J1258 K1258 K337 E425 J1210 J866:M867 J868" formula="1" unlockedFormula="1"/>
    <ignoredError sqref="L324" formula="1" formulaRange="1"/>
  </ignoredErrors>
  <drawing r:id="rId2"/>
  <legacyDrawing r:id="rId3"/>
</worksheet>
</file>

<file path=xl/worksheets/sheet11.xml><?xml version="1.0" encoding="utf-8"?>
<worksheet xmlns="http://schemas.openxmlformats.org/spreadsheetml/2006/main" xmlns:r="http://schemas.openxmlformats.org/officeDocument/2006/relationships">
  <dimension ref="A2:J171"/>
  <sheetViews>
    <sheetView topLeftCell="A4" workbookViewId="0">
      <selection activeCell="B24" sqref="B24"/>
    </sheetView>
  </sheetViews>
  <sheetFormatPr defaultRowHeight="15"/>
  <cols>
    <col min="1" max="1" width="6.5703125" customWidth="1"/>
    <col min="2" max="2" width="42.5703125" customWidth="1"/>
    <col min="3" max="4" width="8.28515625" customWidth="1"/>
    <col min="5" max="5" width="11" customWidth="1"/>
    <col min="6" max="6" width="10.28515625" customWidth="1"/>
    <col min="8" max="8" width="10.28515625" customWidth="1"/>
    <col min="9" max="9" width="10.5703125" customWidth="1"/>
    <col min="10" max="10" width="26.5703125" customWidth="1"/>
  </cols>
  <sheetData>
    <row r="2" spans="1:10">
      <c r="A2" s="195"/>
      <c r="B2" s="295" t="s">
        <v>190</v>
      </c>
      <c r="C2" s="196"/>
      <c r="D2" s="196"/>
      <c r="E2" s="196"/>
      <c r="F2" s="196"/>
      <c r="G2" s="196"/>
      <c r="H2" s="196"/>
      <c r="I2" s="196"/>
      <c r="J2" s="197"/>
    </row>
    <row r="3" spans="1:10">
      <c r="A3" s="195"/>
      <c r="B3" s="196"/>
      <c r="C3" s="196"/>
      <c r="D3" s="196"/>
      <c r="E3" s="196"/>
      <c r="F3" s="196"/>
      <c r="G3" s="196"/>
      <c r="H3" s="196"/>
      <c r="I3" s="196"/>
      <c r="J3" s="197"/>
    </row>
    <row r="4" spans="1:10" ht="50.45" customHeight="1">
      <c r="A4" s="198" t="s">
        <v>111</v>
      </c>
      <c r="B4" s="198" t="s">
        <v>183</v>
      </c>
      <c r="C4" s="198" t="s">
        <v>184</v>
      </c>
      <c r="D4" s="198" t="s">
        <v>185</v>
      </c>
      <c r="E4" s="198" t="s">
        <v>195</v>
      </c>
      <c r="F4" s="198" t="s">
        <v>186</v>
      </c>
      <c r="G4" s="198" t="s">
        <v>187</v>
      </c>
      <c r="H4" s="198" t="s">
        <v>191</v>
      </c>
      <c r="I4" s="198" t="s">
        <v>189</v>
      </c>
      <c r="J4" s="198" t="s">
        <v>188</v>
      </c>
    </row>
    <row r="5" spans="1:10" ht="18.600000000000001" customHeight="1">
      <c r="A5" s="199">
        <v>1</v>
      </c>
      <c r="B5" s="203" t="s">
        <v>182</v>
      </c>
      <c r="C5" s="200">
        <v>28</v>
      </c>
      <c r="D5" s="199" t="s">
        <v>181</v>
      </c>
      <c r="E5" s="199"/>
      <c r="F5" s="201"/>
      <c r="G5" s="201"/>
      <c r="H5" s="201"/>
      <c r="I5" s="201"/>
      <c r="J5" s="199"/>
    </row>
    <row r="6" spans="1:10">
      <c r="A6" s="199">
        <v>2</v>
      </c>
      <c r="B6" s="202" t="s">
        <v>200</v>
      </c>
      <c r="C6" s="200">
        <f>C5*20*1.06</f>
        <v>593.6</v>
      </c>
      <c r="D6" s="199" t="s">
        <v>201</v>
      </c>
      <c r="E6" s="199"/>
      <c r="F6" s="201"/>
      <c r="G6" s="201"/>
      <c r="H6" s="201"/>
      <c r="I6" s="201"/>
      <c r="J6" s="199"/>
    </row>
    <row r="7" spans="1:10">
      <c r="A7" s="199">
        <v>3</v>
      </c>
      <c r="B7" s="203" t="s">
        <v>192</v>
      </c>
      <c r="C7" s="200"/>
      <c r="D7" s="199"/>
      <c r="E7" s="199"/>
      <c r="F7" s="201"/>
      <c r="G7" s="201"/>
      <c r="H7" s="201"/>
      <c r="I7" s="201"/>
      <c r="J7" s="199"/>
    </row>
    <row r="8" spans="1:10">
      <c r="A8" s="199">
        <v>4</v>
      </c>
      <c r="B8" s="202" t="s">
        <v>193</v>
      </c>
      <c r="C8" s="200">
        <f>((C5*1.06*(100-20)/100)-C5*1.06*(100-35)/100)/1.42</f>
        <v>3.1352112676056327</v>
      </c>
      <c r="D8" s="199" t="s">
        <v>180</v>
      </c>
      <c r="E8" s="199"/>
      <c r="F8" s="201"/>
      <c r="G8" s="201"/>
      <c r="H8" s="201"/>
      <c r="I8" s="201"/>
      <c r="J8" s="199"/>
    </row>
    <row r="9" spans="1:10">
      <c r="A9" s="199">
        <v>5</v>
      </c>
      <c r="B9" s="297" t="s">
        <v>194</v>
      </c>
      <c r="C9" s="298">
        <v>4</v>
      </c>
      <c r="D9" s="143" t="s">
        <v>181</v>
      </c>
      <c r="E9" s="298">
        <f>C8/0.5*30/C9</f>
        <v>47.02816901408449</v>
      </c>
      <c r="F9" s="50"/>
      <c r="G9" s="299"/>
      <c r="H9" s="298">
        <v>25000</v>
      </c>
      <c r="I9" s="298">
        <f t="shared" ref="I9:I14" si="0">H9*C9</f>
        <v>100000</v>
      </c>
      <c r="J9" s="49" t="s">
        <v>202</v>
      </c>
    </row>
    <row r="10" spans="1:10">
      <c r="A10" s="199">
        <v>6</v>
      </c>
      <c r="B10" s="297" t="s">
        <v>196</v>
      </c>
      <c r="C10" s="298">
        <v>4</v>
      </c>
      <c r="D10" s="298" t="s">
        <v>161</v>
      </c>
      <c r="E10" s="298"/>
      <c r="F10" s="298">
        <v>1.5</v>
      </c>
      <c r="G10" s="298">
        <f>F10*C10</f>
        <v>6</v>
      </c>
      <c r="H10" s="298">
        <v>12500</v>
      </c>
      <c r="I10" s="298">
        <f t="shared" si="0"/>
        <v>50000</v>
      </c>
      <c r="J10" s="199" t="s">
        <v>204</v>
      </c>
    </row>
    <row r="11" spans="1:10">
      <c r="A11" s="199">
        <v>7</v>
      </c>
      <c r="B11" s="297" t="s">
        <v>197</v>
      </c>
      <c r="C11" s="298">
        <v>1</v>
      </c>
      <c r="D11" s="298" t="s">
        <v>161</v>
      </c>
      <c r="E11" s="298"/>
      <c r="F11" s="298">
        <v>5.5</v>
      </c>
      <c r="G11" s="298">
        <f>F11*C11</f>
        <v>5.5</v>
      </c>
      <c r="H11" s="298">
        <v>16000</v>
      </c>
      <c r="I11" s="298">
        <f t="shared" si="0"/>
        <v>16000</v>
      </c>
      <c r="J11" s="199" t="s">
        <v>205</v>
      </c>
    </row>
    <row r="12" spans="1:10">
      <c r="A12" s="199">
        <v>8</v>
      </c>
      <c r="B12" s="297" t="s">
        <v>198</v>
      </c>
      <c r="C12" s="298">
        <v>2</v>
      </c>
      <c r="D12" s="298" t="s">
        <v>161</v>
      </c>
      <c r="E12" s="298"/>
      <c r="F12" s="298">
        <v>2.2000000000000002</v>
      </c>
      <c r="G12" s="298">
        <f>F12*C12</f>
        <v>4.4000000000000004</v>
      </c>
      <c r="H12" s="298">
        <v>8200</v>
      </c>
      <c r="I12" s="298">
        <f t="shared" si="0"/>
        <v>16400</v>
      </c>
      <c r="J12" s="199" t="s">
        <v>206</v>
      </c>
    </row>
    <row r="13" spans="1:10">
      <c r="A13" s="199">
        <v>9</v>
      </c>
      <c r="B13" s="297" t="s">
        <v>207</v>
      </c>
      <c r="C13" s="298">
        <v>1</v>
      </c>
      <c r="D13" s="298" t="s">
        <v>161</v>
      </c>
      <c r="E13" s="298"/>
      <c r="F13" s="298"/>
      <c r="G13" s="298"/>
      <c r="H13" s="298">
        <v>8500</v>
      </c>
      <c r="I13" s="298">
        <f t="shared" si="0"/>
        <v>8500</v>
      </c>
      <c r="J13" s="199"/>
    </row>
    <row r="14" spans="1:10" ht="25.5">
      <c r="A14" s="199">
        <v>10</v>
      </c>
      <c r="B14" s="300" t="s">
        <v>208</v>
      </c>
      <c r="C14" s="301">
        <v>1</v>
      </c>
      <c r="D14" s="301" t="s">
        <v>161</v>
      </c>
      <c r="E14" s="298"/>
      <c r="F14" s="298"/>
      <c r="G14" s="298"/>
      <c r="H14" s="298">
        <f>500*8*10</f>
        <v>40000</v>
      </c>
      <c r="I14" s="298">
        <f t="shared" si="0"/>
        <v>40000</v>
      </c>
      <c r="J14" s="199" t="s">
        <v>209</v>
      </c>
    </row>
    <row r="15" spans="1:10">
      <c r="A15" s="199">
        <v>11</v>
      </c>
      <c r="B15" s="300" t="s">
        <v>210</v>
      </c>
      <c r="C15" s="301"/>
      <c r="D15" s="301"/>
      <c r="E15" s="298"/>
      <c r="F15" s="298"/>
      <c r="G15" s="298"/>
      <c r="H15" s="298"/>
      <c r="I15" s="298">
        <f>(I9+I10+I11+I12+I13+I14)*10%</f>
        <v>23090</v>
      </c>
      <c r="J15" s="199"/>
    </row>
    <row r="16" spans="1:10">
      <c r="A16" s="199">
        <v>12</v>
      </c>
      <c r="B16" s="297" t="s">
        <v>199</v>
      </c>
      <c r="C16" s="298">
        <f>C5+C8</f>
        <v>31.135211267605634</v>
      </c>
      <c r="D16" s="298" t="s">
        <v>181</v>
      </c>
      <c r="E16" s="298"/>
      <c r="F16" s="299"/>
      <c r="G16" s="299"/>
      <c r="H16" s="299"/>
      <c r="I16" s="299"/>
      <c r="J16" s="199"/>
    </row>
    <row r="17" spans="1:10" ht="15.75">
      <c r="A17" s="169">
        <v>13</v>
      </c>
      <c r="B17" s="1844" t="s">
        <v>203</v>
      </c>
      <c r="C17" s="1844"/>
      <c r="D17" s="1844"/>
      <c r="E17" s="1844"/>
      <c r="F17" s="1844"/>
      <c r="G17" s="1844"/>
      <c r="H17" s="1844"/>
      <c r="I17" s="179">
        <f>SUM(I9:I16)</f>
        <v>253990</v>
      </c>
      <c r="J17" s="171"/>
    </row>
    <row r="18" spans="1:10" ht="15.75">
      <c r="A18" s="169">
        <v>14</v>
      </c>
      <c r="B18" s="1845" t="s">
        <v>211</v>
      </c>
      <c r="C18" s="1846"/>
      <c r="D18" s="1846"/>
      <c r="E18" s="1846"/>
      <c r="F18" s="1846"/>
      <c r="G18" s="1846"/>
      <c r="H18" s="1847"/>
      <c r="I18" s="179">
        <v>254000</v>
      </c>
      <c r="J18" s="171"/>
    </row>
    <row r="19" spans="1:10" ht="15.75">
      <c r="A19" s="176"/>
      <c r="B19" s="302"/>
      <c r="C19" s="179"/>
      <c r="D19" s="179"/>
      <c r="E19" s="179"/>
      <c r="F19" s="303"/>
      <c r="G19" s="303"/>
      <c r="H19" s="179"/>
      <c r="I19" s="179"/>
      <c r="J19" s="171"/>
    </row>
    <row r="20" spans="1:10" ht="15.75">
      <c r="A20" s="176"/>
      <c r="B20" s="304" t="s">
        <v>273</v>
      </c>
      <c r="C20" s="179"/>
      <c r="D20" s="179"/>
      <c r="E20" s="179"/>
      <c r="F20" s="303"/>
      <c r="G20" s="303"/>
      <c r="H20" s="179"/>
      <c r="I20" s="306">
        <v>1500000</v>
      </c>
      <c r="J20" s="171"/>
    </row>
    <row r="21" spans="1:10" ht="25.5">
      <c r="A21" s="176"/>
      <c r="B21" s="305" t="s">
        <v>274</v>
      </c>
      <c r="C21" s="298">
        <v>23</v>
      </c>
      <c r="D21" s="298" t="s">
        <v>275</v>
      </c>
      <c r="E21" s="298"/>
      <c r="F21" s="299"/>
      <c r="G21" s="299"/>
      <c r="H21" s="298"/>
      <c r="I21" s="179"/>
      <c r="J21" s="171"/>
    </row>
    <row r="22" spans="1:10" ht="15.75">
      <c r="A22" s="169"/>
      <c r="B22" s="297" t="s">
        <v>200</v>
      </c>
      <c r="C22" s="298">
        <f>C6</f>
        <v>593.6</v>
      </c>
      <c r="D22" s="298" t="s">
        <v>201</v>
      </c>
      <c r="E22" s="298"/>
      <c r="F22" s="299"/>
      <c r="G22" s="299"/>
      <c r="H22" s="298"/>
      <c r="I22" s="179"/>
      <c r="J22" s="171"/>
    </row>
    <row r="23" spans="1:10" ht="45.6" customHeight="1">
      <c r="A23" s="169"/>
      <c r="B23" s="300" t="s">
        <v>276</v>
      </c>
      <c r="C23" s="298"/>
      <c r="D23" s="298"/>
      <c r="E23" s="298"/>
      <c r="F23" s="299"/>
      <c r="G23" s="299"/>
      <c r="H23" s="298">
        <v>600000</v>
      </c>
      <c r="I23" s="179"/>
      <c r="J23" s="171"/>
    </row>
    <row r="24" spans="1:10" ht="19.149999999999999" customHeight="1">
      <c r="A24" s="169"/>
      <c r="B24" s="300" t="s">
        <v>277</v>
      </c>
      <c r="C24" s="301">
        <v>1</v>
      </c>
      <c r="D24" s="301" t="s">
        <v>161</v>
      </c>
      <c r="E24" s="298"/>
      <c r="F24" s="298"/>
      <c r="G24" s="298"/>
      <c r="H24" s="298">
        <v>250000</v>
      </c>
      <c r="I24" s="179"/>
      <c r="J24" s="171"/>
    </row>
    <row r="25" spans="1:10" ht="15.75">
      <c r="A25" s="169"/>
      <c r="B25" s="300" t="s">
        <v>210</v>
      </c>
      <c r="C25" s="301"/>
      <c r="D25" s="301"/>
      <c r="E25" s="298"/>
      <c r="F25" s="298"/>
      <c r="G25" s="298"/>
      <c r="H25" s="298"/>
      <c r="I25" s="303"/>
      <c r="J25" s="171"/>
    </row>
    <row r="26" spans="1:10" ht="15.75">
      <c r="A26" s="169"/>
      <c r="B26" s="297" t="s">
        <v>199</v>
      </c>
      <c r="C26" s="298">
        <f>C22/35</f>
        <v>16.96</v>
      </c>
      <c r="D26" s="298" t="s">
        <v>180</v>
      </c>
      <c r="E26" s="298"/>
      <c r="F26" s="299"/>
      <c r="G26" s="299"/>
      <c r="H26" s="299"/>
      <c r="I26" s="303"/>
      <c r="J26" s="171"/>
    </row>
    <row r="27" spans="1:10" ht="15.75">
      <c r="A27" s="169"/>
      <c r="B27" s="1844" t="s">
        <v>203</v>
      </c>
      <c r="C27" s="1844"/>
      <c r="D27" s="1844"/>
      <c r="E27" s="1844"/>
      <c r="F27" s="1844"/>
      <c r="G27" s="1844"/>
      <c r="H27" s="1844"/>
      <c r="I27" s="303"/>
      <c r="J27" s="171"/>
    </row>
    <row r="28" spans="1:10" ht="15.75">
      <c r="A28" s="169"/>
      <c r="B28" s="1845" t="s">
        <v>211</v>
      </c>
      <c r="C28" s="1846"/>
      <c r="D28" s="1846"/>
      <c r="E28" s="1846"/>
      <c r="F28" s="1846"/>
      <c r="G28" s="1846"/>
      <c r="H28" s="1847"/>
      <c r="I28" s="303"/>
      <c r="J28" s="171"/>
    </row>
    <row r="29" spans="1:10" ht="15.75">
      <c r="A29" s="169"/>
      <c r="B29" s="302"/>
      <c r="C29" s="179"/>
      <c r="D29" s="179"/>
      <c r="E29" s="179"/>
      <c r="F29" s="179"/>
      <c r="G29" s="179"/>
      <c r="H29" s="179"/>
      <c r="I29" s="179"/>
      <c r="J29" s="171"/>
    </row>
    <row r="30" spans="1:10" ht="15.75">
      <c r="A30" s="169"/>
      <c r="B30" s="170"/>
      <c r="C30" s="175"/>
      <c r="D30" s="171"/>
      <c r="E30" s="171"/>
      <c r="F30" s="171"/>
      <c r="G30" s="171"/>
      <c r="H30" s="171"/>
      <c r="I30" s="171"/>
      <c r="J30" s="171"/>
    </row>
    <row r="31" spans="1:10" ht="15.75">
      <c r="A31" s="169"/>
      <c r="B31" s="170"/>
      <c r="C31" s="169"/>
      <c r="D31" s="171"/>
      <c r="E31" s="171"/>
      <c r="F31" s="171"/>
      <c r="G31" s="171"/>
      <c r="H31" s="171"/>
      <c r="I31" s="171"/>
      <c r="J31" s="171"/>
    </row>
    <row r="32" spans="1:10" ht="15.75">
      <c r="A32" s="169"/>
      <c r="B32" s="170"/>
      <c r="C32" s="171"/>
      <c r="D32" s="171"/>
      <c r="E32" s="171"/>
      <c r="F32" s="171"/>
      <c r="G32" s="171"/>
      <c r="H32" s="171"/>
      <c r="I32" s="171"/>
      <c r="J32" s="171"/>
    </row>
    <row r="33" spans="1:10" ht="15.75">
      <c r="A33" s="169"/>
      <c r="B33" s="170"/>
      <c r="C33" s="171"/>
      <c r="D33" s="171"/>
      <c r="E33" s="171"/>
      <c r="F33" s="171"/>
      <c r="G33" s="171"/>
      <c r="H33" s="171"/>
      <c r="I33" s="171"/>
      <c r="J33" s="177"/>
    </row>
    <row r="34" spans="1:10" ht="15.75">
      <c r="A34" s="169"/>
      <c r="B34" s="170"/>
      <c r="C34" s="171"/>
      <c r="D34" s="171"/>
      <c r="E34" s="171"/>
      <c r="F34" s="171"/>
      <c r="G34" s="171"/>
      <c r="H34" s="171"/>
      <c r="I34" s="171"/>
      <c r="J34" s="171"/>
    </row>
    <row r="35" spans="1:10" ht="15.75">
      <c r="A35" s="169"/>
      <c r="B35" s="170"/>
      <c r="C35" s="175"/>
      <c r="D35" s="171"/>
      <c r="E35" s="171"/>
      <c r="F35" s="171"/>
      <c r="G35" s="174"/>
      <c r="H35" s="171"/>
      <c r="I35" s="171"/>
      <c r="J35" s="171"/>
    </row>
    <row r="36" spans="1:10" ht="15.75">
      <c r="A36" s="169"/>
      <c r="B36" s="170"/>
      <c r="C36" s="171"/>
      <c r="D36" s="171"/>
      <c r="E36" s="171"/>
      <c r="F36" s="171"/>
      <c r="G36" s="171"/>
      <c r="H36" s="171"/>
      <c r="I36" s="171"/>
      <c r="J36" s="171"/>
    </row>
    <row r="37" spans="1:10" ht="15.75">
      <c r="A37" s="169"/>
      <c r="B37" s="170"/>
      <c r="C37" s="171"/>
      <c r="D37" s="171"/>
      <c r="E37" s="171"/>
      <c r="F37" s="171"/>
      <c r="G37" s="171"/>
      <c r="H37" s="171"/>
      <c r="I37" s="171"/>
      <c r="J37" s="171"/>
    </row>
    <row r="38" spans="1:10" ht="15.75">
      <c r="A38" s="169"/>
      <c r="B38" s="172"/>
      <c r="C38" s="171"/>
      <c r="D38" s="171"/>
      <c r="E38" s="171"/>
      <c r="F38" s="171"/>
      <c r="G38" s="171"/>
      <c r="H38" s="171"/>
      <c r="I38" s="171"/>
      <c r="J38" s="171"/>
    </row>
    <row r="39" spans="1:10" ht="15.75">
      <c r="A39" s="169"/>
      <c r="B39" s="170"/>
      <c r="C39" s="171"/>
      <c r="D39" s="171"/>
      <c r="E39" s="171"/>
      <c r="F39" s="171"/>
      <c r="G39" s="171"/>
      <c r="H39" s="171"/>
      <c r="I39" s="171"/>
      <c r="J39" s="171"/>
    </row>
    <row r="40" spans="1:10" ht="15.75">
      <c r="A40" s="169"/>
      <c r="B40" s="170"/>
      <c r="C40" s="171"/>
      <c r="D40" s="171"/>
      <c r="E40" s="171"/>
      <c r="F40" s="171"/>
      <c r="G40" s="171"/>
      <c r="H40" s="171"/>
      <c r="I40" s="171"/>
      <c r="J40" s="171"/>
    </row>
    <row r="41" spans="1:10" ht="15.75">
      <c r="A41" s="169"/>
      <c r="B41" s="172"/>
      <c r="C41" s="171"/>
      <c r="D41" s="171"/>
      <c r="E41" s="171"/>
      <c r="F41" s="171"/>
      <c r="G41" s="171"/>
      <c r="H41" s="171"/>
      <c r="I41" s="171"/>
      <c r="J41" s="171"/>
    </row>
    <row r="42" spans="1:10" ht="15.75">
      <c r="A42" s="169"/>
      <c r="B42" s="170"/>
      <c r="C42" s="171"/>
      <c r="D42" s="171"/>
      <c r="E42" s="171"/>
      <c r="F42" s="171"/>
      <c r="G42" s="171"/>
      <c r="H42" s="171"/>
      <c r="I42" s="171"/>
      <c r="J42" s="171"/>
    </row>
    <row r="43" spans="1:10" ht="15.75">
      <c r="A43" s="169"/>
      <c r="B43" s="170"/>
      <c r="C43" s="171"/>
      <c r="D43" s="171"/>
      <c r="E43" s="171"/>
      <c r="F43" s="171"/>
      <c r="G43" s="171"/>
      <c r="H43" s="171"/>
      <c r="I43" s="171"/>
      <c r="J43" s="171"/>
    </row>
    <row r="44" spans="1:10" ht="15.75">
      <c r="A44" s="169"/>
      <c r="B44" s="170"/>
      <c r="C44" s="171"/>
      <c r="D44" s="171"/>
      <c r="E44" s="171"/>
      <c r="F44" s="171"/>
      <c r="G44" s="171"/>
      <c r="H44" s="171"/>
      <c r="I44" s="171"/>
      <c r="J44" s="171"/>
    </row>
    <row r="45" spans="1:10" ht="15.75">
      <c r="A45" s="169"/>
      <c r="B45" s="170"/>
      <c r="C45" s="171"/>
      <c r="D45" s="171"/>
      <c r="E45" s="171"/>
      <c r="F45" s="171"/>
      <c r="G45" s="171"/>
      <c r="H45" s="171"/>
      <c r="I45" s="171"/>
      <c r="J45" s="171"/>
    </row>
    <row r="46" spans="1:10" ht="15.75">
      <c r="A46" s="169"/>
      <c r="B46" s="170"/>
      <c r="C46" s="171"/>
      <c r="D46" s="171"/>
      <c r="E46" s="171"/>
      <c r="F46" s="171"/>
      <c r="G46" s="171"/>
      <c r="H46" s="171"/>
      <c r="I46" s="171"/>
      <c r="J46" s="171"/>
    </row>
    <row r="47" spans="1:10" ht="15.75">
      <c r="A47" s="169"/>
      <c r="B47" s="170"/>
      <c r="C47" s="175"/>
      <c r="D47" s="171"/>
      <c r="E47" s="171"/>
      <c r="F47" s="171"/>
      <c r="G47" s="171"/>
      <c r="H47" s="171"/>
      <c r="I47" s="171"/>
      <c r="J47" s="171"/>
    </row>
    <row r="48" spans="1:10" ht="15.75">
      <c r="A48" s="169"/>
      <c r="B48" s="170"/>
      <c r="C48" s="171"/>
      <c r="D48" s="171"/>
      <c r="E48" s="171"/>
      <c r="F48" s="171"/>
      <c r="G48" s="171"/>
      <c r="H48" s="171"/>
      <c r="I48" s="171"/>
      <c r="J48" s="171"/>
    </row>
    <row r="49" spans="1:10" ht="15.75">
      <c r="A49" s="169"/>
      <c r="B49" s="170"/>
      <c r="C49" s="171"/>
      <c r="D49" s="171"/>
      <c r="E49" s="171"/>
      <c r="F49" s="171"/>
      <c r="G49" s="171"/>
      <c r="H49" s="171"/>
      <c r="I49" s="171"/>
      <c r="J49" s="171"/>
    </row>
    <row r="50" spans="1:10" ht="15.75">
      <c r="A50" s="169"/>
      <c r="B50" s="170"/>
      <c r="C50" s="171"/>
      <c r="D50" s="171"/>
      <c r="E50" s="171"/>
      <c r="F50" s="171"/>
      <c r="G50" s="171"/>
      <c r="H50" s="171"/>
      <c r="I50" s="171"/>
      <c r="J50" s="171"/>
    </row>
    <row r="51" spans="1:10" ht="15.75">
      <c r="A51" s="169"/>
      <c r="B51" s="170"/>
      <c r="C51" s="171"/>
      <c r="D51" s="171"/>
      <c r="E51" s="171"/>
      <c r="F51" s="171"/>
      <c r="G51" s="171"/>
      <c r="H51" s="171"/>
      <c r="I51" s="171"/>
      <c r="J51" s="171"/>
    </row>
    <row r="52" spans="1:10" ht="15.75">
      <c r="A52" s="169"/>
      <c r="B52" s="170"/>
      <c r="C52" s="171"/>
      <c r="D52" s="171"/>
      <c r="E52" s="171"/>
      <c r="F52" s="171"/>
      <c r="G52" s="171"/>
      <c r="H52" s="174"/>
      <c r="I52" s="174"/>
      <c r="J52" s="171"/>
    </row>
    <row r="53" spans="1:10" ht="15.75">
      <c r="A53" s="169"/>
      <c r="B53" s="172"/>
      <c r="C53" s="168"/>
      <c r="D53" s="171"/>
      <c r="E53" s="171"/>
      <c r="F53" s="171"/>
      <c r="G53" s="171"/>
      <c r="H53" s="174"/>
      <c r="I53" s="174"/>
      <c r="J53" s="171"/>
    </row>
    <row r="54" spans="1:10" ht="15.75">
      <c r="A54" s="169"/>
      <c r="B54" s="172"/>
      <c r="C54" s="171"/>
      <c r="D54" s="171"/>
      <c r="E54" s="171"/>
      <c r="F54" s="171"/>
      <c r="G54" s="171"/>
      <c r="H54" s="171"/>
      <c r="I54" s="171"/>
      <c r="J54" s="171"/>
    </row>
    <row r="55" spans="1:10" ht="15.75">
      <c r="A55" s="169"/>
      <c r="B55" s="170"/>
      <c r="C55" s="171"/>
      <c r="D55" s="171"/>
      <c r="E55" s="171"/>
      <c r="F55" s="171"/>
      <c r="G55" s="171"/>
      <c r="H55" s="174"/>
      <c r="I55" s="174"/>
      <c r="J55" s="171"/>
    </row>
    <row r="56" spans="1:10" ht="15.75">
      <c r="A56" s="169"/>
      <c r="B56" s="170"/>
      <c r="C56" s="175"/>
      <c r="D56" s="171"/>
      <c r="E56" s="171"/>
      <c r="F56" s="171"/>
      <c r="G56" s="171"/>
      <c r="H56" s="174"/>
      <c r="I56" s="174"/>
      <c r="J56" s="171"/>
    </row>
    <row r="57" spans="1:10" ht="15.75">
      <c r="A57" s="169"/>
      <c r="B57" s="170"/>
      <c r="C57" s="178"/>
      <c r="D57" s="171"/>
      <c r="E57" s="171"/>
      <c r="F57" s="171"/>
      <c r="G57" s="171"/>
      <c r="H57" s="171"/>
      <c r="I57" s="171"/>
      <c r="J57" s="171"/>
    </row>
    <row r="58" spans="1:10" ht="15.75">
      <c r="A58" s="169"/>
      <c r="B58" s="170"/>
      <c r="C58" s="169"/>
      <c r="D58" s="171"/>
      <c r="E58" s="171"/>
      <c r="F58" s="174"/>
      <c r="G58" s="174"/>
      <c r="H58" s="174"/>
      <c r="I58" s="174"/>
      <c r="J58" s="171"/>
    </row>
    <row r="59" spans="1:10" ht="15.75">
      <c r="A59" s="169"/>
      <c r="B59" s="172"/>
      <c r="C59" s="179"/>
      <c r="D59" s="171"/>
      <c r="E59" s="171"/>
      <c r="F59" s="174"/>
      <c r="G59" s="174"/>
      <c r="H59" s="174"/>
      <c r="I59" s="174"/>
      <c r="J59" s="171"/>
    </row>
    <row r="60" spans="1:10" ht="15.75">
      <c r="A60" s="169"/>
      <c r="B60" s="170"/>
      <c r="C60" s="179"/>
      <c r="D60" s="171"/>
      <c r="E60" s="171"/>
      <c r="F60" s="171"/>
      <c r="G60" s="171"/>
      <c r="H60" s="171"/>
      <c r="I60" s="171"/>
      <c r="J60" s="171"/>
    </row>
    <row r="61" spans="1:10" ht="15.75">
      <c r="A61" s="169"/>
      <c r="B61" s="170"/>
      <c r="C61" s="179"/>
      <c r="D61" s="171"/>
      <c r="E61" s="171"/>
      <c r="F61" s="174"/>
      <c r="G61" s="174"/>
      <c r="H61" s="171"/>
      <c r="I61" s="171"/>
      <c r="J61" s="171"/>
    </row>
    <row r="62" spans="1:10" ht="15.75">
      <c r="A62" s="169"/>
      <c r="B62" s="170"/>
      <c r="C62" s="179"/>
      <c r="D62" s="171"/>
      <c r="E62" s="171"/>
      <c r="F62" s="171"/>
      <c r="G62" s="171"/>
      <c r="H62" s="171"/>
      <c r="I62" s="171"/>
      <c r="J62" s="171"/>
    </row>
    <row r="63" spans="1:10" ht="15.75">
      <c r="A63" s="169"/>
      <c r="B63" s="171"/>
      <c r="C63" s="171"/>
      <c r="D63" s="171"/>
      <c r="E63" s="171"/>
      <c r="F63" s="174"/>
      <c r="G63" s="174"/>
      <c r="H63" s="174"/>
      <c r="I63" s="174"/>
      <c r="J63" s="171"/>
    </row>
    <row r="64" spans="1:10" ht="15.75">
      <c r="A64" s="169"/>
      <c r="B64" s="172"/>
      <c r="C64" s="171"/>
      <c r="D64" s="171"/>
      <c r="E64" s="171"/>
      <c r="F64" s="174"/>
      <c r="G64" s="174"/>
      <c r="H64" s="174"/>
      <c r="I64" s="174"/>
      <c r="J64" s="171"/>
    </row>
    <row r="65" spans="1:10" ht="15.75">
      <c r="A65" s="169"/>
      <c r="B65" s="170"/>
      <c r="C65" s="171"/>
      <c r="D65" s="173"/>
      <c r="E65" s="173"/>
      <c r="F65" s="174"/>
      <c r="G65" s="174"/>
      <c r="H65" s="174"/>
      <c r="I65" s="174"/>
      <c r="J65" s="171"/>
    </row>
    <row r="66" spans="1:10" ht="15.75">
      <c r="A66" s="169"/>
      <c r="B66" s="171"/>
      <c r="C66" s="171"/>
      <c r="D66" s="173"/>
      <c r="E66" s="173"/>
      <c r="F66" s="174"/>
      <c r="G66" s="174"/>
      <c r="H66" s="174"/>
      <c r="I66" s="174"/>
      <c r="J66" s="171"/>
    </row>
    <row r="67" spans="1:10" ht="15.75">
      <c r="A67" s="169"/>
      <c r="B67" s="171"/>
      <c r="C67" s="171"/>
      <c r="D67" s="173"/>
      <c r="E67" s="173"/>
      <c r="F67" s="174"/>
      <c r="G67" s="174"/>
      <c r="H67" s="174"/>
      <c r="I67" s="174"/>
      <c r="J67" s="171"/>
    </row>
    <row r="68" spans="1:10" ht="15.75">
      <c r="A68" s="169"/>
      <c r="B68" s="170"/>
      <c r="C68" s="179"/>
      <c r="D68" s="171"/>
      <c r="E68" s="171"/>
      <c r="F68" s="174"/>
      <c r="G68" s="174"/>
      <c r="H68" s="174"/>
      <c r="I68" s="174"/>
      <c r="J68" s="171"/>
    </row>
    <row r="69" spans="1:10" ht="15.75">
      <c r="A69" s="169"/>
      <c r="B69" s="170"/>
      <c r="C69" s="179"/>
      <c r="D69" s="171"/>
      <c r="E69" s="171"/>
      <c r="F69" s="174"/>
      <c r="G69" s="174"/>
      <c r="H69" s="174"/>
      <c r="I69" s="174"/>
      <c r="J69" s="171"/>
    </row>
    <row r="70" spans="1:10" ht="15.75">
      <c r="A70" s="169"/>
      <c r="B70" s="170"/>
      <c r="C70" s="179"/>
      <c r="D70" s="171"/>
      <c r="E70" s="171"/>
      <c r="F70" s="171"/>
      <c r="G70" s="171"/>
      <c r="H70" s="171"/>
      <c r="I70" s="171"/>
      <c r="J70" s="171"/>
    </row>
    <row r="71" spans="1:10" ht="15.75">
      <c r="A71" s="169"/>
      <c r="B71" s="170"/>
      <c r="C71" s="179"/>
      <c r="D71" s="171"/>
      <c r="E71" s="171"/>
      <c r="F71" s="171"/>
      <c r="G71" s="171"/>
      <c r="H71" s="171"/>
      <c r="I71" s="171"/>
      <c r="J71" s="171"/>
    </row>
    <row r="72" spans="1:10" ht="15.75">
      <c r="A72" s="169"/>
      <c r="B72" s="170"/>
      <c r="C72" s="179"/>
      <c r="D72" s="171"/>
      <c r="E72" s="171"/>
      <c r="F72" s="171"/>
      <c r="G72" s="171"/>
      <c r="H72" s="171"/>
      <c r="I72" s="171"/>
      <c r="J72" s="171"/>
    </row>
    <row r="73" spans="1:10" ht="15.75">
      <c r="A73" s="169"/>
      <c r="B73" s="170"/>
      <c r="C73" s="179"/>
      <c r="D73" s="171"/>
      <c r="E73" s="171"/>
      <c r="F73" s="174"/>
      <c r="G73" s="174"/>
      <c r="H73" s="171"/>
      <c r="I73" s="171"/>
      <c r="J73" s="171"/>
    </row>
    <row r="74" spans="1:10" ht="15.75">
      <c r="A74" s="169"/>
      <c r="B74" s="170"/>
      <c r="C74" s="179"/>
      <c r="D74" s="171"/>
      <c r="E74" s="171"/>
      <c r="F74" s="174"/>
      <c r="G74" s="174"/>
      <c r="H74" s="171"/>
      <c r="I74" s="171"/>
      <c r="J74" s="171"/>
    </row>
    <row r="75" spans="1:10" ht="15.75">
      <c r="A75" s="169"/>
      <c r="B75" s="170"/>
      <c r="C75" s="179"/>
      <c r="D75" s="171"/>
      <c r="E75" s="171"/>
      <c r="F75" s="171"/>
      <c r="G75" s="171"/>
      <c r="H75" s="171"/>
      <c r="I75" s="171"/>
      <c r="J75" s="171"/>
    </row>
    <row r="76" spans="1:10" ht="15.75">
      <c r="A76" s="169"/>
      <c r="B76" s="170"/>
      <c r="C76" s="179"/>
      <c r="D76" s="171"/>
      <c r="E76" s="171"/>
      <c r="F76" s="174"/>
      <c r="G76" s="174"/>
      <c r="H76" s="174"/>
      <c r="I76" s="174"/>
      <c r="J76" s="171"/>
    </row>
    <row r="77" spans="1:10" ht="15.75">
      <c r="A77" s="169"/>
      <c r="B77" s="172"/>
      <c r="C77" s="171"/>
      <c r="D77" s="171"/>
      <c r="E77" s="171"/>
      <c r="F77" s="174"/>
      <c r="G77" s="174"/>
      <c r="H77" s="174"/>
      <c r="I77" s="174"/>
      <c r="J77" s="171"/>
    </row>
    <row r="78" spans="1:10" ht="15.75">
      <c r="A78" s="169"/>
      <c r="B78" s="170"/>
      <c r="C78" s="179"/>
      <c r="D78" s="171"/>
      <c r="E78" s="171"/>
      <c r="F78" s="171"/>
      <c r="G78" s="171"/>
      <c r="H78" s="171"/>
      <c r="I78" s="171"/>
      <c r="J78" s="171"/>
    </row>
    <row r="79" spans="1:10" ht="15.75">
      <c r="A79" s="169"/>
      <c r="B79" s="170"/>
      <c r="C79" s="173"/>
      <c r="D79" s="171"/>
      <c r="E79" s="171"/>
      <c r="F79" s="174"/>
      <c r="G79" s="174"/>
      <c r="H79" s="173"/>
      <c r="I79" s="171"/>
      <c r="J79" s="180"/>
    </row>
    <row r="80" spans="1:10" ht="15.75">
      <c r="A80" s="169"/>
      <c r="B80" s="170"/>
      <c r="C80" s="171"/>
      <c r="D80" s="171"/>
      <c r="E80" s="171"/>
      <c r="F80" s="174"/>
      <c r="G80" s="174"/>
      <c r="H80" s="174"/>
      <c r="I80" s="174"/>
      <c r="J80" s="171"/>
    </row>
    <row r="81" spans="1:10" ht="15.75">
      <c r="A81" s="169"/>
      <c r="B81" s="172"/>
      <c r="C81" s="171"/>
      <c r="D81" s="171"/>
      <c r="E81" s="171"/>
      <c r="F81" s="174"/>
      <c r="G81" s="174"/>
      <c r="H81" s="174"/>
      <c r="I81" s="174"/>
      <c r="J81" s="171"/>
    </row>
    <row r="82" spans="1:10" ht="15.75">
      <c r="A82" s="169"/>
      <c r="B82" s="170"/>
      <c r="C82" s="179"/>
      <c r="D82" s="171"/>
      <c r="E82" s="171"/>
      <c r="F82" s="171"/>
      <c r="G82" s="171"/>
      <c r="H82" s="171"/>
      <c r="I82" s="171"/>
      <c r="J82" s="171"/>
    </row>
    <row r="83" spans="1:10" ht="15.75">
      <c r="A83" s="169"/>
      <c r="B83" s="170"/>
      <c r="C83" s="179"/>
      <c r="D83" s="171"/>
      <c r="E83" s="171"/>
      <c r="F83" s="174"/>
      <c r="G83" s="174"/>
      <c r="H83" s="174"/>
      <c r="I83" s="174"/>
      <c r="J83" s="171"/>
    </row>
    <row r="84" spans="1:10" ht="15.75">
      <c r="A84" s="169"/>
      <c r="B84" s="170"/>
      <c r="C84" s="179"/>
      <c r="D84" s="171"/>
      <c r="E84" s="171"/>
      <c r="F84" s="174"/>
      <c r="G84" s="174"/>
      <c r="H84" s="174"/>
      <c r="I84" s="174"/>
      <c r="J84" s="171"/>
    </row>
    <row r="85" spans="1:10" ht="15.75">
      <c r="A85" s="169"/>
      <c r="B85" s="170"/>
      <c r="C85" s="175"/>
      <c r="D85" s="171"/>
      <c r="E85" s="171"/>
      <c r="F85" s="174"/>
      <c r="G85" s="174"/>
      <c r="H85" s="174"/>
      <c r="I85" s="174"/>
      <c r="J85" s="171"/>
    </row>
    <row r="86" spans="1:10" ht="15.75">
      <c r="A86" s="169"/>
      <c r="B86" s="170"/>
      <c r="C86" s="171"/>
      <c r="D86" s="171"/>
      <c r="E86" s="171"/>
      <c r="F86" s="174"/>
      <c r="G86" s="174"/>
      <c r="H86" s="174"/>
      <c r="I86" s="174"/>
      <c r="J86" s="171"/>
    </row>
    <row r="87" spans="1:10" ht="15.75">
      <c r="A87" s="169"/>
      <c r="B87" s="172"/>
      <c r="C87" s="171"/>
      <c r="D87" s="171"/>
      <c r="E87" s="171"/>
      <c r="F87" s="174"/>
      <c r="G87" s="174"/>
      <c r="H87" s="174"/>
      <c r="I87" s="174"/>
      <c r="J87" s="171"/>
    </row>
    <row r="88" spans="1:10" ht="15.75">
      <c r="A88" s="169"/>
      <c r="B88" s="170"/>
      <c r="C88" s="179"/>
      <c r="D88" s="171"/>
      <c r="E88" s="171"/>
      <c r="F88" s="171"/>
      <c r="G88" s="171"/>
      <c r="H88" s="171"/>
      <c r="I88" s="171"/>
      <c r="J88" s="180"/>
    </row>
    <row r="89" spans="1:10" ht="15.75">
      <c r="A89" s="169"/>
      <c r="B89" s="170"/>
      <c r="C89" s="173"/>
      <c r="D89" s="171"/>
      <c r="E89" s="171"/>
      <c r="F89" s="174"/>
      <c r="G89" s="174"/>
      <c r="H89" s="181"/>
      <c r="I89" s="174"/>
      <c r="J89" s="171"/>
    </row>
    <row r="90" spans="1:10" ht="15.75">
      <c r="A90" s="169"/>
      <c r="B90" s="170"/>
      <c r="C90" s="173"/>
      <c r="D90" s="171"/>
      <c r="E90" s="171"/>
      <c r="F90" s="174"/>
      <c r="G90" s="174"/>
      <c r="H90" s="173"/>
      <c r="I90" s="171"/>
      <c r="J90" s="180"/>
    </row>
    <row r="91" spans="1:10" ht="15.75">
      <c r="A91" s="169"/>
      <c r="B91" s="170"/>
      <c r="C91" s="179"/>
      <c r="D91" s="171"/>
      <c r="E91" s="171"/>
      <c r="F91" s="174"/>
      <c r="G91" s="174"/>
      <c r="H91" s="171"/>
      <c r="I91" s="171"/>
      <c r="J91" s="171"/>
    </row>
    <row r="92" spans="1:10" ht="15.75">
      <c r="A92" s="169"/>
      <c r="B92" s="171"/>
      <c r="C92" s="171"/>
      <c r="D92" s="171"/>
      <c r="E92" s="171"/>
      <c r="F92" s="174"/>
      <c r="G92" s="174"/>
      <c r="H92" s="174"/>
      <c r="I92" s="174"/>
      <c r="J92" s="171"/>
    </row>
    <row r="93" spans="1:10" ht="15.75">
      <c r="A93" s="169"/>
      <c r="B93" s="182"/>
      <c r="C93" s="171"/>
      <c r="D93" s="171"/>
      <c r="E93" s="171"/>
      <c r="F93" s="174"/>
      <c r="G93" s="174"/>
      <c r="H93" s="174"/>
      <c r="I93" s="174"/>
      <c r="J93" s="171"/>
    </row>
    <row r="94" spans="1:10" ht="15.75">
      <c r="A94" s="169"/>
      <c r="B94" s="170"/>
      <c r="C94" s="175"/>
      <c r="D94" s="171"/>
      <c r="E94" s="171"/>
      <c r="F94" s="174"/>
      <c r="G94" s="174"/>
      <c r="H94" s="174"/>
      <c r="I94" s="174"/>
      <c r="J94" s="171"/>
    </row>
    <row r="95" spans="1:10" ht="15.75">
      <c r="A95" s="169"/>
      <c r="B95" s="170"/>
      <c r="C95" s="175"/>
      <c r="D95" s="171"/>
      <c r="E95" s="171"/>
      <c r="F95" s="174"/>
      <c r="G95" s="174"/>
      <c r="H95" s="174"/>
      <c r="I95" s="174"/>
      <c r="J95" s="171"/>
    </row>
    <row r="96" spans="1:10" ht="15.75">
      <c r="A96" s="169"/>
      <c r="B96" s="170"/>
      <c r="C96" s="175"/>
      <c r="D96" s="171"/>
      <c r="E96" s="171"/>
      <c r="F96" s="174"/>
      <c r="G96" s="174"/>
      <c r="H96" s="174"/>
      <c r="I96" s="174"/>
      <c r="J96" s="171"/>
    </row>
    <row r="97" spans="1:10" ht="15.75">
      <c r="A97" s="169"/>
      <c r="B97" s="170"/>
      <c r="C97" s="179"/>
      <c r="D97" s="171"/>
      <c r="E97" s="171"/>
      <c r="F97" s="174"/>
      <c r="G97" s="174"/>
      <c r="H97" s="174"/>
      <c r="I97" s="174"/>
      <c r="J97" s="171"/>
    </row>
    <row r="98" spans="1:10" ht="15.75">
      <c r="A98" s="169"/>
      <c r="B98" s="170"/>
      <c r="C98" s="183"/>
      <c r="D98" s="171"/>
      <c r="E98" s="171"/>
      <c r="F98" s="171"/>
      <c r="G98" s="171"/>
      <c r="H98" s="171"/>
      <c r="I98" s="171"/>
      <c r="J98" s="171"/>
    </row>
    <row r="99" spans="1:10" ht="15.75">
      <c r="A99" s="169"/>
      <c r="B99" s="170"/>
      <c r="C99" s="184"/>
      <c r="D99" s="171"/>
      <c r="E99" s="171"/>
      <c r="F99" s="174"/>
      <c r="G99" s="174"/>
      <c r="H99" s="171"/>
      <c r="I99" s="171"/>
      <c r="J99" s="171"/>
    </row>
    <row r="100" spans="1:10" ht="15.75">
      <c r="A100" s="169"/>
      <c r="B100" s="170"/>
      <c r="C100" s="184"/>
      <c r="D100" s="171"/>
      <c r="E100" s="171"/>
      <c r="F100" s="174"/>
      <c r="G100" s="174"/>
      <c r="H100" s="174"/>
      <c r="I100" s="174"/>
      <c r="J100" s="171"/>
    </row>
    <row r="101" spans="1:10" ht="15.75">
      <c r="A101" s="169"/>
      <c r="B101" s="170"/>
      <c r="C101" s="184"/>
      <c r="D101" s="171"/>
      <c r="E101" s="171"/>
      <c r="F101" s="174"/>
      <c r="G101" s="174"/>
      <c r="H101" s="174"/>
      <c r="I101" s="174"/>
      <c r="J101" s="171"/>
    </row>
    <row r="102" spans="1:10" ht="15.75">
      <c r="A102" s="169"/>
      <c r="B102" s="170"/>
      <c r="C102" s="184"/>
      <c r="D102" s="171"/>
      <c r="E102" s="171"/>
      <c r="F102" s="174"/>
      <c r="G102" s="174"/>
      <c r="H102" s="174"/>
      <c r="I102" s="174"/>
      <c r="J102" s="171"/>
    </row>
    <row r="103" spans="1:10" ht="15.75">
      <c r="A103" s="169"/>
      <c r="B103" s="170"/>
      <c r="C103" s="184"/>
      <c r="D103" s="171"/>
      <c r="E103" s="171"/>
      <c r="F103" s="174"/>
      <c r="G103" s="174"/>
      <c r="H103" s="174"/>
      <c r="I103" s="174"/>
      <c r="J103" s="171"/>
    </row>
    <row r="104" spans="1:10" ht="15.75">
      <c r="A104" s="169"/>
      <c r="B104" s="170"/>
      <c r="C104" s="184"/>
      <c r="D104" s="171"/>
      <c r="E104" s="171"/>
      <c r="F104" s="174"/>
      <c r="G104" s="174"/>
      <c r="H104" s="174"/>
      <c r="I104" s="174"/>
      <c r="J104" s="171"/>
    </row>
    <row r="105" spans="1:10" ht="15.75">
      <c r="A105" s="169"/>
      <c r="B105" s="170"/>
      <c r="C105" s="184"/>
      <c r="D105" s="171"/>
      <c r="E105" s="171"/>
      <c r="F105" s="171"/>
      <c r="G105" s="171"/>
      <c r="H105" s="171"/>
      <c r="I105" s="171"/>
      <c r="J105" s="171"/>
    </row>
    <row r="106" spans="1:10" ht="15.75">
      <c r="A106" s="169"/>
      <c r="B106" s="170"/>
      <c r="C106" s="184"/>
      <c r="D106" s="171"/>
      <c r="E106" s="171"/>
      <c r="F106" s="174"/>
      <c r="G106" s="174"/>
      <c r="H106" s="174"/>
      <c r="I106" s="174"/>
      <c r="J106" s="171"/>
    </row>
    <row r="107" spans="1:10" ht="15.75">
      <c r="A107" s="169"/>
      <c r="B107" s="172"/>
      <c r="C107" s="184"/>
      <c r="D107" s="171"/>
      <c r="E107" s="171"/>
      <c r="F107" s="174"/>
      <c r="G107" s="174"/>
      <c r="H107" s="174"/>
      <c r="I107" s="174"/>
      <c r="J107" s="171"/>
    </row>
    <row r="108" spans="1:10" ht="15.75">
      <c r="A108" s="169"/>
      <c r="B108" s="170"/>
      <c r="C108" s="184"/>
      <c r="D108" s="171"/>
      <c r="E108" s="171"/>
      <c r="F108" s="174"/>
      <c r="G108" s="174"/>
      <c r="H108" s="174"/>
      <c r="I108" s="174"/>
      <c r="J108" s="171"/>
    </row>
    <row r="109" spans="1:10" ht="15.75">
      <c r="A109" s="169"/>
      <c r="B109" s="170"/>
      <c r="C109" s="185"/>
      <c r="D109" s="171"/>
      <c r="E109" s="171"/>
      <c r="F109" s="174"/>
      <c r="G109" s="174"/>
      <c r="H109" s="174"/>
      <c r="I109" s="174"/>
      <c r="J109" s="171"/>
    </row>
    <row r="110" spans="1:10" ht="15.75">
      <c r="A110" s="169"/>
      <c r="B110" s="170"/>
      <c r="C110" s="185"/>
      <c r="D110" s="171"/>
      <c r="E110" s="171"/>
      <c r="F110" s="174"/>
      <c r="G110" s="174"/>
      <c r="H110" s="174"/>
      <c r="I110" s="174"/>
      <c r="J110" s="171"/>
    </row>
    <row r="111" spans="1:10" ht="15.75">
      <c r="A111" s="169"/>
      <c r="B111" s="170"/>
      <c r="C111" s="184"/>
      <c r="D111" s="171"/>
      <c r="E111" s="171"/>
      <c r="F111" s="171"/>
      <c r="G111" s="171"/>
      <c r="H111" s="171"/>
      <c r="I111" s="171"/>
      <c r="J111" s="171"/>
    </row>
    <row r="112" spans="1:10" ht="15.75">
      <c r="A112" s="169"/>
      <c r="B112" s="170"/>
      <c r="C112" s="184"/>
      <c r="D112" s="171"/>
      <c r="E112" s="171"/>
      <c r="F112" s="174"/>
      <c r="G112" s="174"/>
      <c r="H112" s="174"/>
      <c r="I112" s="174"/>
      <c r="J112" s="171"/>
    </row>
    <row r="113" spans="1:10" ht="15.75">
      <c r="A113" s="169"/>
      <c r="B113" s="172"/>
      <c r="C113" s="171"/>
      <c r="D113" s="171"/>
      <c r="E113" s="171"/>
      <c r="F113" s="174"/>
      <c r="G113" s="174"/>
      <c r="H113" s="174"/>
      <c r="I113" s="174"/>
      <c r="J113" s="171"/>
    </row>
    <row r="114" spans="1:10" ht="15.75">
      <c r="A114" s="169"/>
      <c r="B114" s="170"/>
      <c r="C114" s="186"/>
      <c r="D114" s="171"/>
      <c r="E114" s="171"/>
      <c r="F114" s="174"/>
      <c r="G114" s="174"/>
      <c r="H114" s="174"/>
      <c r="I114" s="174"/>
      <c r="J114" s="171"/>
    </row>
    <row r="115" spans="1:10" ht="15.75">
      <c r="A115" s="169"/>
      <c r="B115" s="170"/>
      <c r="C115" s="178"/>
      <c r="D115" s="171"/>
      <c r="E115" s="171"/>
      <c r="F115" s="171"/>
      <c r="G115" s="171"/>
      <c r="H115" s="171"/>
      <c r="I115" s="171"/>
      <c r="J115" s="171"/>
    </row>
    <row r="116" spans="1:10" ht="15.75">
      <c r="A116" s="169"/>
      <c r="B116" s="170"/>
      <c r="C116" s="178"/>
      <c r="D116" s="171"/>
      <c r="E116" s="171"/>
      <c r="F116" s="174"/>
      <c r="G116" s="174"/>
      <c r="H116" s="174"/>
      <c r="I116" s="174"/>
      <c r="J116" s="171"/>
    </row>
    <row r="117" spans="1:10" ht="15.75">
      <c r="A117" s="169"/>
      <c r="B117" s="170"/>
      <c r="C117" s="186"/>
      <c r="D117" s="171"/>
      <c r="E117" s="171"/>
      <c r="F117" s="174"/>
      <c r="G117" s="174"/>
      <c r="H117" s="174"/>
      <c r="I117" s="174"/>
      <c r="J117" s="171"/>
    </row>
    <row r="118" spans="1:10" ht="15.75">
      <c r="A118" s="169"/>
      <c r="B118" s="170"/>
      <c r="C118" s="186"/>
      <c r="D118" s="171"/>
      <c r="E118" s="171"/>
      <c r="F118" s="174"/>
      <c r="G118" s="174"/>
      <c r="H118" s="174"/>
      <c r="I118" s="174"/>
      <c r="J118" s="171"/>
    </row>
    <row r="119" spans="1:10" ht="15.75">
      <c r="A119" s="169"/>
      <c r="B119" s="170"/>
      <c r="C119" s="186"/>
      <c r="D119" s="171"/>
      <c r="E119" s="171"/>
      <c r="F119" s="174"/>
      <c r="G119" s="174"/>
      <c r="H119" s="174"/>
      <c r="I119" s="174"/>
      <c r="J119" s="171"/>
    </row>
    <row r="120" spans="1:10" ht="15.75">
      <c r="A120" s="169"/>
      <c r="B120" s="170"/>
      <c r="C120" s="187"/>
      <c r="D120" s="171"/>
      <c r="E120" s="171"/>
      <c r="F120" s="174"/>
      <c r="G120" s="174"/>
      <c r="H120" s="174"/>
      <c r="I120" s="174"/>
      <c r="J120" s="171"/>
    </row>
    <row r="121" spans="1:10" ht="15.75">
      <c r="A121" s="169"/>
      <c r="B121" s="170"/>
      <c r="C121" s="187"/>
      <c r="D121" s="171"/>
      <c r="E121" s="171"/>
      <c r="F121" s="174"/>
      <c r="G121" s="174"/>
      <c r="H121" s="174"/>
      <c r="I121" s="174"/>
      <c r="J121" s="171"/>
    </row>
    <row r="122" spans="1:10" ht="15.75">
      <c r="A122" s="169"/>
      <c r="B122" s="170"/>
      <c r="C122" s="187"/>
      <c r="D122" s="171"/>
      <c r="E122" s="171"/>
      <c r="F122" s="174"/>
      <c r="G122" s="174"/>
      <c r="H122" s="174"/>
      <c r="I122" s="174"/>
      <c r="J122" s="171"/>
    </row>
    <row r="123" spans="1:10" ht="15.75">
      <c r="A123" s="169"/>
      <c r="B123" s="172"/>
      <c r="C123" s="187"/>
      <c r="D123" s="171"/>
      <c r="E123" s="171"/>
      <c r="F123" s="174"/>
      <c r="G123" s="174"/>
      <c r="H123" s="174"/>
      <c r="I123" s="174"/>
      <c r="J123" s="171"/>
    </row>
    <row r="124" spans="1:10" ht="15.75">
      <c r="A124" s="169"/>
      <c r="B124" s="170"/>
      <c r="C124" s="187"/>
      <c r="D124" s="171"/>
      <c r="E124" s="171"/>
      <c r="F124" s="174"/>
      <c r="G124" s="174"/>
      <c r="H124" s="174"/>
      <c r="I124" s="174"/>
      <c r="J124" s="171"/>
    </row>
    <row r="125" spans="1:10" ht="15.75">
      <c r="A125" s="169"/>
      <c r="B125" s="170"/>
      <c r="C125" s="186"/>
      <c r="D125" s="175"/>
      <c r="E125" s="175"/>
      <c r="F125" s="174"/>
      <c r="G125" s="174"/>
      <c r="H125" s="171"/>
      <c r="I125" s="171"/>
      <c r="J125" s="171"/>
    </row>
    <row r="126" spans="1:10" ht="15.75">
      <c r="A126" s="169"/>
      <c r="B126" s="170"/>
      <c r="C126" s="186"/>
      <c r="D126" s="171"/>
      <c r="E126" s="171"/>
      <c r="F126" s="171"/>
      <c r="G126" s="171"/>
      <c r="H126" s="171"/>
      <c r="I126" s="171"/>
      <c r="J126" s="171"/>
    </row>
    <row r="127" spans="1:10" ht="15.75">
      <c r="A127" s="169"/>
      <c r="B127" s="170"/>
      <c r="C127" s="186"/>
      <c r="D127" s="171"/>
      <c r="E127" s="171"/>
      <c r="F127" s="171"/>
      <c r="G127" s="171"/>
      <c r="H127" s="171"/>
      <c r="I127" s="171"/>
      <c r="J127" s="171"/>
    </row>
    <row r="128" spans="1:10" ht="15.75">
      <c r="A128" s="169"/>
      <c r="B128" s="170"/>
      <c r="C128" s="186"/>
      <c r="D128" s="171"/>
      <c r="E128" s="171"/>
      <c r="F128" s="171"/>
      <c r="G128" s="171"/>
      <c r="H128" s="171"/>
      <c r="I128" s="171"/>
      <c r="J128" s="171"/>
    </row>
    <row r="129" spans="1:10" ht="15.75">
      <c r="A129" s="169"/>
      <c r="B129" s="170"/>
      <c r="C129" s="188"/>
      <c r="D129" s="171"/>
      <c r="E129" s="171"/>
      <c r="F129" s="174"/>
      <c r="G129" s="174"/>
      <c r="H129" s="174"/>
      <c r="I129" s="174"/>
      <c r="J129" s="171"/>
    </row>
    <row r="130" spans="1:10" ht="15.75">
      <c r="A130" s="169"/>
      <c r="B130" s="170"/>
      <c r="C130" s="187"/>
      <c r="D130" s="171"/>
      <c r="E130" s="171"/>
      <c r="F130" s="174"/>
      <c r="G130" s="174"/>
      <c r="H130" s="174"/>
      <c r="I130" s="174"/>
      <c r="J130" s="171"/>
    </row>
    <row r="131" spans="1:10" ht="15.75">
      <c r="A131" s="169"/>
      <c r="B131" s="172"/>
      <c r="C131" s="178"/>
      <c r="D131" s="171"/>
      <c r="E131" s="171"/>
      <c r="F131" s="174"/>
      <c r="G131" s="174"/>
      <c r="H131" s="174"/>
      <c r="I131" s="174"/>
      <c r="J131" s="171"/>
    </row>
    <row r="132" spans="1:10" ht="15.75">
      <c r="A132" s="169"/>
      <c r="B132" s="171"/>
      <c r="C132" s="178"/>
      <c r="D132" s="171"/>
      <c r="E132" s="171"/>
      <c r="F132" s="174"/>
      <c r="G132" s="174"/>
      <c r="H132" s="174"/>
      <c r="I132" s="174"/>
      <c r="J132" s="171"/>
    </row>
    <row r="133" spans="1:10" ht="15.75">
      <c r="A133" s="169"/>
      <c r="B133" s="171"/>
      <c r="C133" s="187"/>
      <c r="D133" s="171"/>
      <c r="E133" s="171"/>
      <c r="F133" s="174"/>
      <c r="G133" s="174"/>
      <c r="H133" s="174"/>
      <c r="I133" s="174"/>
      <c r="J133" s="171"/>
    </row>
    <row r="134" spans="1:10" ht="15.75">
      <c r="A134" s="169"/>
      <c r="B134" s="171"/>
      <c r="C134" s="186"/>
      <c r="D134" s="171"/>
      <c r="E134" s="171"/>
      <c r="F134" s="174"/>
      <c r="G134" s="174"/>
      <c r="H134" s="174"/>
      <c r="I134" s="174"/>
      <c r="J134" s="171"/>
    </row>
    <row r="135" spans="1:10" ht="15.75">
      <c r="A135" s="169"/>
      <c r="B135" s="171"/>
      <c r="C135" s="178"/>
      <c r="D135" s="171"/>
      <c r="E135" s="171"/>
      <c r="F135" s="171"/>
      <c r="G135" s="171"/>
      <c r="H135" s="171"/>
      <c r="I135" s="171"/>
      <c r="J135" s="171"/>
    </row>
    <row r="136" spans="1:10" ht="15.75">
      <c r="A136" s="169"/>
      <c r="B136" s="171"/>
      <c r="C136" s="186"/>
      <c r="D136" s="171"/>
      <c r="E136" s="204"/>
      <c r="F136" s="189"/>
      <c r="G136" s="174"/>
      <c r="H136" s="174"/>
      <c r="I136" s="174"/>
      <c r="J136" s="171"/>
    </row>
    <row r="137" spans="1:10" ht="15.75">
      <c r="A137" s="169"/>
      <c r="B137" s="171"/>
      <c r="C137" s="178"/>
      <c r="D137" s="171"/>
      <c r="E137" s="171"/>
      <c r="F137" s="174"/>
      <c r="G137" s="174"/>
      <c r="H137" s="174"/>
      <c r="I137" s="174"/>
      <c r="J137" s="171"/>
    </row>
    <row r="138" spans="1:10" ht="15.75">
      <c r="A138" s="169"/>
      <c r="B138" s="171"/>
      <c r="C138" s="178"/>
      <c r="D138" s="171"/>
      <c r="E138" s="171"/>
      <c r="F138" s="174"/>
      <c r="G138" s="174"/>
      <c r="H138" s="174"/>
      <c r="I138" s="174"/>
      <c r="J138" s="171"/>
    </row>
    <row r="139" spans="1:10" ht="15.75">
      <c r="A139" s="169"/>
      <c r="B139" s="182"/>
      <c r="C139" s="178"/>
      <c r="D139" s="171"/>
      <c r="E139" s="171"/>
      <c r="F139" s="171"/>
      <c r="G139" s="171"/>
      <c r="H139" s="174"/>
      <c r="I139" s="174"/>
      <c r="J139" s="171"/>
    </row>
    <row r="140" spans="1:10" ht="15.75">
      <c r="A140" s="169"/>
      <c r="B140" s="170"/>
      <c r="C140" s="184"/>
      <c r="D140" s="171"/>
      <c r="E140" s="171"/>
      <c r="F140" s="174"/>
      <c r="G140" s="174"/>
      <c r="H140" s="174"/>
      <c r="I140" s="174"/>
      <c r="J140" s="171"/>
    </row>
    <row r="141" spans="1:10" ht="15.75">
      <c r="A141" s="169"/>
      <c r="B141" s="170"/>
      <c r="C141" s="185"/>
      <c r="D141" s="171"/>
      <c r="E141" s="171"/>
      <c r="F141" s="174"/>
      <c r="G141" s="174"/>
      <c r="H141" s="174"/>
      <c r="I141" s="174"/>
      <c r="J141" s="171"/>
    </row>
    <row r="142" spans="1:10" ht="15.75">
      <c r="A142" s="169"/>
      <c r="B142" s="170"/>
      <c r="C142" s="185"/>
      <c r="D142" s="171"/>
      <c r="E142" s="171"/>
      <c r="F142" s="174"/>
      <c r="G142" s="174"/>
      <c r="H142" s="174"/>
      <c r="I142" s="174"/>
      <c r="J142" s="171"/>
    </row>
    <row r="143" spans="1:10" ht="15.75">
      <c r="A143" s="169"/>
      <c r="B143" s="173"/>
      <c r="C143" s="173"/>
      <c r="D143" s="173"/>
      <c r="E143" s="173"/>
      <c r="F143" s="174"/>
      <c r="G143" s="174"/>
      <c r="H143" s="174"/>
      <c r="I143" s="174"/>
      <c r="J143" s="171"/>
    </row>
    <row r="144" spans="1:10" ht="15.75">
      <c r="A144" s="169"/>
      <c r="B144" s="170"/>
      <c r="C144" s="184"/>
      <c r="D144" s="171"/>
      <c r="E144" s="171"/>
      <c r="F144" s="174"/>
      <c r="G144" s="174"/>
      <c r="H144" s="174"/>
      <c r="I144" s="174"/>
      <c r="J144" s="171"/>
    </row>
    <row r="145" spans="1:10" ht="15.75">
      <c r="A145" s="169"/>
      <c r="B145" s="170"/>
      <c r="C145" s="184"/>
      <c r="D145" s="171"/>
      <c r="E145" s="171"/>
      <c r="F145" s="174"/>
      <c r="G145" s="174"/>
      <c r="H145" s="171"/>
      <c r="I145" s="171"/>
      <c r="J145" s="171"/>
    </row>
    <row r="146" spans="1:10" ht="15.75">
      <c r="A146" s="169"/>
      <c r="B146" s="170"/>
      <c r="C146" s="184"/>
      <c r="D146" s="171"/>
      <c r="E146" s="171"/>
      <c r="F146" s="174"/>
      <c r="G146" s="174"/>
      <c r="H146" s="171"/>
      <c r="I146" s="171"/>
      <c r="J146" s="171"/>
    </row>
    <row r="147" spans="1:10" ht="15.75">
      <c r="A147" s="169"/>
      <c r="B147" s="170"/>
      <c r="C147" s="184"/>
      <c r="D147" s="171"/>
      <c r="E147" s="171"/>
      <c r="F147" s="174"/>
      <c r="G147" s="174"/>
      <c r="H147" s="174"/>
      <c r="I147" s="174"/>
      <c r="J147" s="171"/>
    </row>
    <row r="148" spans="1:10" ht="15.75">
      <c r="A148" s="169"/>
      <c r="B148" s="182"/>
      <c r="C148" s="173"/>
      <c r="D148" s="173"/>
      <c r="E148" s="173"/>
      <c r="F148" s="174"/>
      <c r="G148" s="174"/>
      <c r="H148" s="174"/>
      <c r="I148" s="174"/>
      <c r="J148" s="171"/>
    </row>
    <row r="149" spans="1:10" ht="15.75">
      <c r="A149" s="169"/>
      <c r="B149" s="168"/>
      <c r="C149" s="173"/>
      <c r="D149" s="173"/>
      <c r="E149" s="173"/>
      <c r="F149" s="174"/>
      <c r="G149" s="174"/>
      <c r="H149" s="174"/>
      <c r="I149" s="174"/>
      <c r="J149" s="171"/>
    </row>
    <row r="150" spans="1:10" ht="15.75">
      <c r="A150" s="169"/>
      <c r="B150" s="171"/>
      <c r="C150" s="173"/>
      <c r="D150" s="173"/>
      <c r="E150" s="173"/>
      <c r="F150" s="171"/>
      <c r="G150" s="171"/>
      <c r="H150" s="171"/>
      <c r="I150" s="171"/>
      <c r="J150" s="171"/>
    </row>
    <row r="151" spans="1:10" ht="15.75">
      <c r="A151" s="169"/>
      <c r="B151" s="171"/>
      <c r="C151" s="173"/>
      <c r="D151" s="173"/>
      <c r="E151" s="173"/>
      <c r="F151" s="171"/>
      <c r="G151" s="171"/>
      <c r="H151" s="171"/>
      <c r="I151" s="171"/>
      <c r="J151" s="171"/>
    </row>
    <row r="152" spans="1:10" ht="15.75">
      <c r="A152" s="169"/>
      <c r="B152" s="168"/>
      <c r="C152" s="173"/>
      <c r="D152" s="173"/>
      <c r="E152" s="173"/>
      <c r="F152" s="171"/>
      <c r="G152" s="171"/>
      <c r="H152" s="171"/>
      <c r="I152" s="171"/>
      <c r="J152" s="171"/>
    </row>
    <row r="153" spans="1:10" ht="15.75">
      <c r="A153" s="169"/>
      <c r="B153" s="171"/>
      <c r="C153" s="173"/>
      <c r="D153" s="173"/>
      <c r="E153" s="173"/>
      <c r="F153" s="171"/>
      <c r="G153" s="171"/>
      <c r="H153" s="171"/>
      <c r="I153" s="171"/>
      <c r="J153" s="171"/>
    </row>
    <row r="154" spans="1:10" ht="15.75">
      <c r="A154" s="169"/>
      <c r="B154" s="171"/>
      <c r="C154" s="173"/>
      <c r="D154" s="173"/>
      <c r="E154" s="173"/>
      <c r="F154" s="171"/>
      <c r="G154" s="171"/>
      <c r="H154" s="171"/>
      <c r="I154" s="171"/>
      <c r="J154" s="171"/>
    </row>
    <row r="155" spans="1:10" ht="15.75">
      <c r="A155" s="169"/>
      <c r="B155" s="170"/>
      <c r="C155" s="184"/>
      <c r="D155" s="171"/>
      <c r="E155" s="171"/>
      <c r="F155" s="171"/>
      <c r="G155" s="171"/>
      <c r="H155" s="171"/>
      <c r="I155" s="171"/>
      <c r="J155" s="171"/>
    </row>
    <row r="156" spans="1:10" ht="15.75">
      <c r="A156" s="169"/>
      <c r="B156" s="170"/>
      <c r="C156" s="184"/>
      <c r="D156" s="171"/>
      <c r="E156" s="171"/>
      <c r="F156" s="174"/>
      <c r="G156" s="174"/>
      <c r="H156" s="171"/>
      <c r="I156" s="171"/>
      <c r="J156" s="171"/>
    </row>
    <row r="157" spans="1:10" ht="15.75">
      <c r="A157" s="169"/>
      <c r="B157" s="171"/>
      <c r="C157" s="178"/>
      <c r="D157" s="171"/>
      <c r="E157" s="171"/>
      <c r="F157" s="174"/>
      <c r="G157" s="174"/>
      <c r="H157" s="174"/>
      <c r="I157" s="174"/>
      <c r="J157" s="171"/>
    </row>
    <row r="158" spans="1:10" ht="15.75">
      <c r="A158" s="169"/>
      <c r="B158" s="182"/>
      <c r="C158" s="178"/>
      <c r="D158" s="171"/>
      <c r="E158" s="171"/>
      <c r="F158" s="174"/>
      <c r="G158" s="174"/>
      <c r="H158" s="174"/>
      <c r="I158" s="174"/>
      <c r="J158" s="171"/>
    </row>
    <row r="159" spans="1:10" ht="15.75">
      <c r="A159" s="169"/>
      <c r="B159" s="171"/>
      <c r="C159" s="178"/>
      <c r="D159" s="171"/>
      <c r="E159" s="171"/>
      <c r="F159" s="174"/>
      <c r="G159" s="174"/>
      <c r="H159" s="174"/>
      <c r="I159" s="174"/>
      <c r="J159" s="171"/>
    </row>
    <row r="160" spans="1:10" ht="15.75">
      <c r="A160" s="169"/>
      <c r="B160" s="171"/>
      <c r="C160" s="178"/>
      <c r="D160" s="171"/>
      <c r="E160" s="171"/>
      <c r="F160" s="174"/>
      <c r="G160" s="174"/>
      <c r="H160" s="174"/>
      <c r="I160" s="174"/>
      <c r="J160" s="171"/>
    </row>
    <row r="161" spans="1:10" ht="15.75">
      <c r="A161" s="169"/>
      <c r="B161" s="182"/>
      <c r="C161" s="171"/>
      <c r="D161" s="171"/>
      <c r="E161" s="171"/>
      <c r="F161" s="174"/>
      <c r="G161" s="174"/>
      <c r="H161" s="174"/>
      <c r="I161" s="174"/>
      <c r="J161" s="171"/>
    </row>
    <row r="162" spans="1:10" ht="15.75">
      <c r="A162" s="169"/>
      <c r="B162" s="171"/>
      <c r="C162" s="174"/>
      <c r="D162" s="171"/>
      <c r="E162" s="171"/>
      <c r="F162" s="174"/>
      <c r="G162" s="174"/>
      <c r="H162" s="174"/>
      <c r="I162" s="174"/>
      <c r="J162" s="171"/>
    </row>
    <row r="163" spans="1:10" ht="15.75">
      <c r="A163" s="165"/>
      <c r="B163" s="49"/>
      <c r="C163" s="49"/>
      <c r="D163" s="49"/>
      <c r="E163" s="49"/>
      <c r="F163" s="181"/>
      <c r="G163" s="181"/>
      <c r="H163" s="181"/>
      <c r="I163" s="181"/>
      <c r="J163" s="171"/>
    </row>
    <row r="164" spans="1:10" ht="15.75">
      <c r="A164" s="190"/>
      <c r="B164" s="191"/>
      <c r="C164" s="192"/>
      <c r="D164" s="192"/>
      <c r="E164" s="192"/>
      <c r="F164" s="192"/>
      <c r="G164" s="192"/>
      <c r="H164" s="192"/>
      <c r="I164" s="192"/>
      <c r="J164" s="171"/>
    </row>
    <row r="165" spans="1:10" ht="15.75">
      <c r="A165" s="190"/>
      <c r="B165" s="173"/>
      <c r="C165" s="173"/>
      <c r="D165" s="173"/>
      <c r="E165" s="173"/>
      <c r="F165" s="192"/>
      <c r="G165" s="192"/>
      <c r="H165" s="192"/>
      <c r="I165" s="192"/>
      <c r="J165" s="171"/>
    </row>
    <row r="166" spans="1:10" ht="15.75">
      <c r="A166" s="190"/>
      <c r="B166" s="193"/>
      <c r="C166" s="173"/>
      <c r="D166" s="173"/>
      <c r="E166" s="173"/>
      <c r="F166" s="173"/>
      <c r="G166" s="173"/>
      <c r="H166" s="173"/>
      <c r="I166" s="173"/>
      <c r="J166" s="171"/>
    </row>
    <row r="167" spans="1:10" ht="15.75">
      <c r="A167" s="190"/>
      <c r="B167" s="173"/>
      <c r="C167" s="173"/>
      <c r="D167" s="173"/>
      <c r="E167" s="173"/>
      <c r="F167" s="192"/>
      <c r="G167" s="192"/>
      <c r="H167" s="173"/>
      <c r="I167" s="173"/>
      <c r="J167" s="171"/>
    </row>
    <row r="168" spans="1:10" ht="15.75">
      <c r="A168" s="190"/>
      <c r="B168" s="173"/>
      <c r="C168" s="173"/>
      <c r="D168" s="173"/>
      <c r="E168" s="173"/>
      <c r="F168" s="192"/>
      <c r="G168" s="192"/>
      <c r="H168" s="173"/>
      <c r="I168" s="173"/>
      <c r="J168" s="171"/>
    </row>
    <row r="169" spans="1:10" ht="15.75">
      <c r="A169" s="190"/>
      <c r="B169" s="173"/>
      <c r="C169" s="173"/>
      <c r="D169" s="173"/>
      <c r="E169" s="173"/>
      <c r="F169" s="173"/>
      <c r="G169" s="173"/>
      <c r="H169" s="173"/>
      <c r="I169" s="173"/>
      <c r="J169" s="171"/>
    </row>
    <row r="170" spans="1:10" ht="15.75">
      <c r="A170" s="190"/>
      <c r="B170" s="173"/>
      <c r="C170" s="173"/>
      <c r="D170" s="173"/>
      <c r="E170" s="173"/>
      <c r="F170" s="192"/>
      <c r="G170" s="192"/>
      <c r="H170" s="192"/>
      <c r="I170" s="192"/>
      <c r="J170" s="171"/>
    </row>
    <row r="171" spans="1:10" ht="15.75">
      <c r="A171" s="194"/>
      <c r="G171" s="166"/>
      <c r="I171" s="166"/>
      <c r="J171" s="167"/>
    </row>
  </sheetData>
  <mergeCells count="4">
    <mergeCell ref="B17:H17"/>
    <mergeCell ref="B18:H18"/>
    <mergeCell ref="B27:H27"/>
    <mergeCell ref="B28:H28"/>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dimension ref="A1:AA51"/>
  <sheetViews>
    <sheetView workbookViewId="0">
      <selection activeCell="Q39" sqref="Q39"/>
    </sheetView>
  </sheetViews>
  <sheetFormatPr defaultRowHeight="15"/>
  <cols>
    <col min="1" max="1" width="15.85546875" customWidth="1"/>
    <col min="2" max="2" width="16" customWidth="1"/>
    <col min="3" max="3" width="14.42578125" customWidth="1"/>
    <col min="10" max="16" width="0" hidden="1" customWidth="1"/>
    <col min="20" max="23" width="0" hidden="1" customWidth="1"/>
    <col min="25" max="25" width="11.7109375" customWidth="1"/>
  </cols>
  <sheetData>
    <row r="1" spans="1:27" ht="15.75" thickBot="1"/>
    <row r="2" spans="1:27">
      <c r="A2" s="1367" t="s">
        <v>14</v>
      </c>
      <c r="B2" s="1369" t="s">
        <v>0</v>
      </c>
      <c r="C2" s="1369" t="s">
        <v>21</v>
      </c>
      <c r="D2" s="1409" t="s">
        <v>24</v>
      </c>
      <c r="E2" s="1409"/>
      <c r="F2" s="1409"/>
      <c r="G2" s="1409"/>
      <c r="H2" s="1409"/>
      <c r="I2" s="1409"/>
      <c r="J2" s="1409"/>
      <c r="K2" s="1409"/>
      <c r="L2" s="1409"/>
      <c r="M2" s="1409"/>
      <c r="N2" s="1409"/>
      <c r="O2" s="1409"/>
      <c r="P2" s="1409"/>
      <c r="Q2" s="1409"/>
      <c r="R2" s="1409"/>
      <c r="S2" s="1409"/>
      <c r="T2" s="1410" t="s">
        <v>17</v>
      </c>
      <c r="U2" s="1411"/>
      <c r="V2" s="1411"/>
      <c r="W2" s="1411"/>
      <c r="X2" s="1405" t="s">
        <v>18</v>
      </c>
      <c r="Y2" s="1403" t="s">
        <v>41</v>
      </c>
      <c r="Z2" s="1370" t="s">
        <v>224</v>
      </c>
      <c r="AA2" s="1409" t="s">
        <v>44</v>
      </c>
    </row>
    <row r="3" spans="1:27" ht="15.75" thickBot="1">
      <c r="A3" s="1852"/>
      <c r="B3" s="1401"/>
      <c r="C3" s="1401"/>
      <c r="D3" s="251" t="s">
        <v>47</v>
      </c>
      <c r="E3" s="251" t="s">
        <v>46</v>
      </c>
      <c r="F3" s="251" t="s">
        <v>28</v>
      </c>
      <c r="G3" s="251" t="s">
        <v>1</v>
      </c>
      <c r="H3" s="251" t="s">
        <v>2</v>
      </c>
      <c r="I3" s="251" t="s">
        <v>3</v>
      </c>
      <c r="J3" s="251" t="s">
        <v>29</v>
      </c>
      <c r="K3" s="251" t="s">
        <v>5</v>
      </c>
      <c r="L3" s="251" t="s">
        <v>6</v>
      </c>
      <c r="M3" s="251" t="s">
        <v>7</v>
      </c>
      <c r="N3" s="251" t="s">
        <v>8</v>
      </c>
      <c r="O3" s="251" t="s">
        <v>9</v>
      </c>
      <c r="P3" s="251" t="s">
        <v>10</v>
      </c>
      <c r="Q3" s="251" t="s">
        <v>11</v>
      </c>
      <c r="R3" s="251" t="s">
        <v>12</v>
      </c>
      <c r="S3" s="251" t="s">
        <v>13</v>
      </c>
      <c r="T3" s="256" t="s">
        <v>1</v>
      </c>
      <c r="U3" s="257" t="s">
        <v>2</v>
      </c>
      <c r="V3" s="257" t="s">
        <v>3</v>
      </c>
      <c r="W3" s="258" t="s">
        <v>4</v>
      </c>
      <c r="X3" s="1853"/>
      <c r="Y3" s="1848"/>
      <c r="Z3" s="1401"/>
      <c r="AA3" s="1409"/>
    </row>
    <row r="4" spans="1:27" ht="21" customHeight="1">
      <c r="A4" s="1849" t="s">
        <v>178</v>
      </c>
      <c r="B4" s="1369" t="s">
        <v>178</v>
      </c>
      <c r="C4" s="22" t="s">
        <v>19</v>
      </c>
      <c r="D4" s="23"/>
      <c r="E4" s="23"/>
      <c r="F4" s="1394">
        <v>1</v>
      </c>
      <c r="G4" s="1395"/>
      <c r="H4" s="1395"/>
      <c r="I4" s="1395"/>
      <c r="J4" s="1395"/>
      <c r="K4" s="1395"/>
      <c r="L4" s="1395"/>
      <c r="M4" s="1395"/>
      <c r="N4" s="1395"/>
      <c r="O4" s="1395"/>
      <c r="P4" s="1395"/>
      <c r="Q4" s="1395"/>
      <c r="R4" s="1395"/>
      <c r="S4" s="1395"/>
      <c r="T4" s="1395"/>
      <c r="U4" s="1395"/>
      <c r="V4" s="1395"/>
      <c r="W4" s="1395"/>
      <c r="X4" s="1395"/>
      <c r="Y4" s="23" t="s">
        <v>225</v>
      </c>
      <c r="Z4" s="23"/>
      <c r="AA4" s="114"/>
    </row>
    <row r="5" spans="1:27" ht="19.149999999999999" customHeight="1" thickBot="1">
      <c r="A5" s="1850"/>
      <c r="B5" s="1851"/>
      <c r="C5" s="24" t="s">
        <v>20</v>
      </c>
      <c r="D5" s="24"/>
      <c r="E5" s="24"/>
      <c r="F5" s="24"/>
      <c r="G5" s="24"/>
      <c r="H5" s="24"/>
      <c r="I5" s="24"/>
      <c r="J5" s="24"/>
      <c r="K5" s="24"/>
      <c r="L5" s="24"/>
      <c r="M5" s="24"/>
      <c r="N5" s="24"/>
      <c r="O5" s="24"/>
      <c r="P5" s="24"/>
      <c r="Q5" s="24"/>
      <c r="R5" s="24"/>
      <c r="S5" s="24"/>
      <c r="T5" s="25"/>
      <c r="U5" s="25"/>
      <c r="V5" s="25"/>
      <c r="W5" s="25"/>
      <c r="X5" s="24"/>
      <c r="Y5" s="27"/>
      <c r="Z5" s="27"/>
      <c r="AA5" s="115"/>
    </row>
    <row r="6" spans="1:27" ht="20.45" customHeight="1">
      <c r="A6" s="1850"/>
      <c r="B6" s="1438" t="s">
        <v>226</v>
      </c>
      <c r="C6" s="22" t="s">
        <v>19</v>
      </c>
      <c r="D6" s="23"/>
      <c r="E6" s="23"/>
      <c r="F6" s="1394">
        <v>1</v>
      </c>
      <c r="G6" s="1395"/>
      <c r="H6" s="1395"/>
      <c r="I6" s="1395"/>
      <c r="J6" s="1395"/>
      <c r="K6" s="1395"/>
      <c r="L6" s="1395"/>
      <c r="M6" s="1395"/>
      <c r="N6" s="1395"/>
      <c r="O6" s="1395"/>
      <c r="P6" s="1395"/>
      <c r="Q6" s="1395"/>
      <c r="R6" s="1395"/>
      <c r="S6" s="1395"/>
      <c r="T6" s="1395"/>
      <c r="U6" s="1395"/>
      <c r="V6" s="1395"/>
      <c r="W6" s="1395"/>
      <c r="X6" s="1395"/>
      <c r="Y6" s="23" t="s">
        <v>227</v>
      </c>
      <c r="Z6" s="23"/>
      <c r="AA6" s="114"/>
    </row>
    <row r="7" spans="1:27" ht="21" customHeight="1" thickBot="1">
      <c r="A7" s="1850"/>
      <c r="B7" s="1851"/>
      <c r="C7" s="24" t="s">
        <v>20</v>
      </c>
      <c r="D7" s="24"/>
      <c r="E7" s="24"/>
      <c r="F7" s="24"/>
      <c r="G7" s="24"/>
      <c r="H7" s="24"/>
      <c r="I7" s="24"/>
      <c r="J7" s="24"/>
      <c r="K7" s="24"/>
      <c r="L7" s="24"/>
      <c r="M7" s="24"/>
      <c r="N7" s="24"/>
      <c r="O7" s="24"/>
      <c r="P7" s="24"/>
      <c r="Q7" s="24"/>
      <c r="R7" s="24"/>
      <c r="S7" s="24"/>
      <c r="T7" s="25"/>
      <c r="U7" s="25"/>
      <c r="V7" s="25"/>
      <c r="W7" s="25"/>
      <c r="X7" s="24"/>
      <c r="Y7" s="27"/>
      <c r="Z7" s="27"/>
      <c r="AA7" s="115"/>
    </row>
    <row r="8" spans="1:27" ht="19.149999999999999" customHeight="1">
      <c r="A8" s="1850"/>
      <c r="B8" s="1438" t="s">
        <v>228</v>
      </c>
      <c r="C8" s="22" t="s">
        <v>19</v>
      </c>
      <c r="D8" s="23"/>
      <c r="E8" s="23"/>
      <c r="F8" s="1394">
        <v>1</v>
      </c>
      <c r="G8" s="1395"/>
      <c r="H8" s="1395"/>
      <c r="I8" s="1395"/>
      <c r="J8" s="1395"/>
      <c r="K8" s="1395"/>
      <c r="L8" s="1395"/>
      <c r="M8" s="1395"/>
      <c r="N8" s="1395"/>
      <c r="O8" s="1395"/>
      <c r="P8" s="1395"/>
      <c r="Q8" s="1395"/>
      <c r="R8" s="1395"/>
      <c r="S8" s="1395"/>
      <c r="T8" s="1395"/>
      <c r="U8" s="1395"/>
      <c r="V8" s="1395"/>
      <c r="W8" s="1395"/>
      <c r="X8" s="1395"/>
      <c r="Y8" s="23"/>
      <c r="Z8" s="23"/>
      <c r="AA8" s="114"/>
    </row>
    <row r="9" spans="1:27" ht="18.600000000000001" customHeight="1" thickBot="1">
      <c r="A9" s="1850"/>
      <c r="B9" s="1851"/>
      <c r="C9" s="24" t="s">
        <v>20</v>
      </c>
      <c r="D9" s="24"/>
      <c r="E9" s="24"/>
      <c r="F9" s="24"/>
      <c r="G9" s="24"/>
      <c r="H9" s="24"/>
      <c r="I9" s="24"/>
      <c r="J9" s="24"/>
      <c r="K9" s="24"/>
      <c r="L9" s="24"/>
      <c r="M9" s="24"/>
      <c r="N9" s="24"/>
      <c r="O9" s="24"/>
      <c r="P9" s="24"/>
      <c r="Q9" s="24"/>
      <c r="R9" s="24"/>
      <c r="S9" s="24"/>
      <c r="T9" s="25"/>
      <c r="U9" s="25"/>
      <c r="V9" s="25"/>
      <c r="W9" s="25"/>
      <c r="X9" s="24"/>
      <c r="Y9" s="27"/>
      <c r="Z9" s="27"/>
      <c r="AA9" s="115"/>
    </row>
    <row r="10" spans="1:27" ht="19.149999999999999" customHeight="1">
      <c r="A10" s="1850"/>
      <c r="B10" s="1438" t="s">
        <v>229</v>
      </c>
      <c r="C10" s="22" t="s">
        <v>19</v>
      </c>
      <c r="D10" s="23"/>
      <c r="E10" s="23"/>
      <c r="F10" s="1394">
        <v>1</v>
      </c>
      <c r="G10" s="1395"/>
      <c r="H10" s="1395"/>
      <c r="I10" s="1395"/>
      <c r="J10" s="1395"/>
      <c r="K10" s="1395"/>
      <c r="L10" s="1395"/>
      <c r="M10" s="1395"/>
      <c r="N10" s="1395"/>
      <c r="O10" s="1395"/>
      <c r="P10" s="1395"/>
      <c r="Q10" s="1395"/>
      <c r="R10" s="1395"/>
      <c r="S10" s="1395"/>
      <c r="T10" s="1395"/>
      <c r="U10" s="1395"/>
      <c r="V10" s="1395"/>
      <c r="W10" s="1395"/>
      <c r="X10" s="1395"/>
      <c r="Y10" s="23" t="s">
        <v>230</v>
      </c>
      <c r="Z10" s="23"/>
      <c r="AA10" s="114"/>
    </row>
    <row r="11" spans="1:27" ht="18" customHeight="1" thickBot="1">
      <c r="A11" s="1850"/>
      <c r="B11" s="1851"/>
      <c r="C11" s="24" t="s">
        <v>20</v>
      </c>
      <c r="D11" s="24"/>
      <c r="E11" s="24"/>
      <c r="F11" s="24"/>
      <c r="G11" s="24"/>
      <c r="H11" s="24"/>
      <c r="I11" s="24"/>
      <c r="J11" s="24"/>
      <c r="K11" s="24"/>
      <c r="L11" s="24"/>
      <c r="M11" s="24"/>
      <c r="N11" s="24"/>
      <c r="O11" s="24"/>
      <c r="P11" s="24"/>
      <c r="Q11" s="24"/>
      <c r="R11" s="24"/>
      <c r="S11" s="24"/>
      <c r="T11" s="25"/>
      <c r="U11" s="25"/>
      <c r="V11" s="25"/>
      <c r="W11" s="25"/>
      <c r="X11" s="24"/>
      <c r="Y11" s="27"/>
      <c r="Z11" s="27"/>
      <c r="AA11" s="115"/>
    </row>
    <row r="12" spans="1:27" ht="17.45" customHeight="1">
      <c r="A12" s="1850"/>
      <c r="B12" s="1438" t="s">
        <v>231</v>
      </c>
      <c r="C12" s="22" t="s">
        <v>19</v>
      </c>
      <c r="D12" s="23"/>
      <c r="E12" s="23"/>
      <c r="F12" s="1394">
        <v>1</v>
      </c>
      <c r="G12" s="1395"/>
      <c r="H12" s="1395"/>
      <c r="I12" s="1395"/>
      <c r="J12" s="1395"/>
      <c r="K12" s="1395"/>
      <c r="L12" s="1395"/>
      <c r="M12" s="1395"/>
      <c r="N12" s="1395"/>
      <c r="O12" s="1395"/>
      <c r="P12" s="1395"/>
      <c r="Q12" s="1395"/>
      <c r="R12" s="1395"/>
      <c r="S12" s="1395"/>
      <c r="T12" s="1395"/>
      <c r="U12" s="1395"/>
      <c r="V12" s="1395"/>
      <c r="W12" s="1395"/>
      <c r="X12" s="1395"/>
      <c r="Y12" s="23" t="s">
        <v>232</v>
      </c>
      <c r="Z12" s="23"/>
      <c r="AA12" s="114"/>
    </row>
    <row r="13" spans="1:27" ht="17.45" customHeight="1" thickBot="1">
      <c r="A13" s="1850"/>
      <c r="B13" s="1851"/>
      <c r="C13" s="24" t="s">
        <v>20</v>
      </c>
      <c r="D13" s="24"/>
      <c r="E13" s="24"/>
      <c r="F13" s="24"/>
      <c r="G13" s="24"/>
      <c r="H13" s="24"/>
      <c r="I13" s="24"/>
      <c r="J13" s="24"/>
      <c r="K13" s="24"/>
      <c r="L13" s="24"/>
      <c r="M13" s="24"/>
      <c r="N13" s="24"/>
      <c r="O13" s="24"/>
      <c r="P13" s="24"/>
      <c r="Q13" s="24"/>
      <c r="R13" s="24"/>
      <c r="S13" s="24"/>
      <c r="T13" s="25"/>
      <c r="U13" s="25"/>
      <c r="V13" s="25"/>
      <c r="W13" s="25"/>
      <c r="X13" s="24"/>
      <c r="Y13" s="27"/>
      <c r="Z13" s="27"/>
      <c r="AA13" s="115"/>
    </row>
    <row r="14" spans="1:27" ht="21" customHeight="1">
      <c r="A14" s="1850"/>
      <c r="B14" s="1438" t="s">
        <v>233</v>
      </c>
      <c r="C14" s="22" t="s">
        <v>19</v>
      </c>
      <c r="D14" s="23"/>
      <c r="E14" s="23"/>
      <c r="F14" s="1394">
        <v>1</v>
      </c>
      <c r="G14" s="1395"/>
      <c r="H14" s="1395"/>
      <c r="I14" s="1395"/>
      <c r="J14" s="1395"/>
      <c r="K14" s="1395"/>
      <c r="L14" s="1395"/>
      <c r="M14" s="1395"/>
      <c r="N14" s="1395"/>
      <c r="O14" s="1395"/>
      <c r="P14" s="1395"/>
      <c r="Q14" s="1395"/>
      <c r="R14" s="1395"/>
      <c r="S14" s="1395"/>
      <c r="T14" s="1395"/>
      <c r="U14" s="1395"/>
      <c r="V14" s="1395"/>
      <c r="W14" s="1395"/>
      <c r="X14" s="1395"/>
      <c r="Y14" s="23" t="s">
        <v>232</v>
      </c>
      <c r="Z14" s="23"/>
      <c r="AA14" s="114"/>
    </row>
    <row r="15" spans="1:27" ht="19.149999999999999" customHeight="1" thickBot="1">
      <c r="A15" s="1850"/>
      <c r="B15" s="1851"/>
      <c r="C15" s="24" t="s">
        <v>20</v>
      </c>
      <c r="D15" s="24"/>
      <c r="E15" s="24"/>
      <c r="F15" s="24"/>
      <c r="G15" s="24"/>
      <c r="H15" s="24"/>
      <c r="I15" s="24"/>
      <c r="J15" s="24"/>
      <c r="K15" s="24"/>
      <c r="L15" s="24"/>
      <c r="M15" s="24"/>
      <c r="N15" s="24"/>
      <c r="O15" s="24"/>
      <c r="P15" s="24"/>
      <c r="Q15" s="24"/>
      <c r="R15" s="24"/>
      <c r="S15" s="24"/>
      <c r="T15" s="25"/>
      <c r="U15" s="25"/>
      <c r="V15" s="25"/>
      <c r="W15" s="25"/>
      <c r="X15" s="24"/>
      <c r="Y15" s="27"/>
      <c r="Z15" s="27"/>
      <c r="AA15" s="115"/>
    </row>
    <row r="16" spans="1:27" ht="19.899999999999999" customHeight="1">
      <c r="A16" s="1850"/>
      <c r="B16" s="1438" t="s">
        <v>234</v>
      </c>
      <c r="C16" s="22" t="s">
        <v>19</v>
      </c>
      <c r="D16" s="23"/>
      <c r="E16" s="23"/>
      <c r="F16" s="1394">
        <v>1</v>
      </c>
      <c r="G16" s="1395"/>
      <c r="H16" s="1395"/>
      <c r="I16" s="1395"/>
      <c r="J16" s="1395"/>
      <c r="K16" s="1395"/>
      <c r="L16" s="1395"/>
      <c r="M16" s="1395"/>
      <c r="N16" s="1395"/>
      <c r="O16" s="1395"/>
      <c r="P16" s="1395"/>
      <c r="Q16" s="1395"/>
      <c r="R16" s="1395"/>
      <c r="S16" s="1395"/>
      <c r="T16" s="1395"/>
      <c r="U16" s="1395"/>
      <c r="V16" s="1395"/>
      <c r="W16" s="1395"/>
      <c r="X16" s="1395"/>
      <c r="Y16" s="23" t="s">
        <v>235</v>
      </c>
      <c r="Z16" s="23"/>
      <c r="AA16" s="114"/>
    </row>
    <row r="17" spans="1:27" ht="19.149999999999999" customHeight="1" thickBot="1">
      <c r="A17" s="1850"/>
      <c r="B17" s="1370"/>
      <c r="C17" s="150" t="s">
        <v>20</v>
      </c>
      <c r="D17" s="150"/>
      <c r="E17" s="150"/>
      <c r="F17" s="150"/>
      <c r="G17" s="150"/>
      <c r="H17" s="150"/>
      <c r="I17" s="150"/>
      <c r="J17" s="150"/>
      <c r="K17" s="150"/>
      <c r="L17" s="150"/>
      <c r="M17" s="150"/>
      <c r="N17" s="150"/>
      <c r="O17" s="150"/>
      <c r="P17" s="150"/>
      <c r="Q17" s="150"/>
      <c r="R17" s="150"/>
      <c r="S17" s="150"/>
      <c r="T17" s="259"/>
      <c r="U17" s="259"/>
      <c r="V17" s="259"/>
      <c r="W17" s="259"/>
      <c r="X17" s="150"/>
      <c r="Y17" s="260"/>
      <c r="Z17" s="260"/>
      <c r="AA17" s="261"/>
    </row>
    <row r="18" spans="1:27" ht="20.45" customHeight="1">
      <c r="A18" s="1367" t="s">
        <v>169</v>
      </c>
      <c r="B18" s="1425" t="s">
        <v>175</v>
      </c>
      <c r="C18" s="22" t="s">
        <v>19</v>
      </c>
      <c r="D18" s="22"/>
      <c r="E18" s="22"/>
      <c r="F18" s="262"/>
      <c r="G18" s="22">
        <v>2900</v>
      </c>
      <c r="H18" s="22"/>
      <c r="I18" s="22"/>
      <c r="J18" s="22"/>
      <c r="K18" s="22"/>
      <c r="L18" s="22"/>
      <c r="M18" s="22"/>
      <c r="N18" s="22"/>
      <c r="O18" s="22"/>
      <c r="P18" s="22"/>
      <c r="Q18" s="22"/>
      <c r="R18" s="22"/>
      <c r="S18" s="22"/>
      <c r="T18" s="22"/>
      <c r="U18" s="22"/>
      <c r="V18" s="22"/>
      <c r="W18" s="22"/>
      <c r="X18" s="22"/>
      <c r="Y18" s="22"/>
      <c r="Z18" s="22">
        <v>2</v>
      </c>
      <c r="AA18" s="114" t="s">
        <v>236</v>
      </c>
    </row>
    <row r="19" spans="1:27" ht="19.899999999999999" customHeight="1">
      <c r="A19" s="1854"/>
      <c r="B19" s="1409"/>
      <c r="C19" s="24" t="s">
        <v>20</v>
      </c>
      <c r="D19" s="24"/>
      <c r="E19" s="24"/>
      <c r="F19" s="24"/>
      <c r="G19" s="24"/>
      <c r="H19" s="24"/>
      <c r="I19" s="24"/>
      <c r="J19" s="24"/>
      <c r="K19" s="24"/>
      <c r="L19" s="24"/>
      <c r="M19" s="24"/>
      <c r="N19" s="24"/>
      <c r="O19" s="24"/>
      <c r="P19" s="24"/>
      <c r="Q19" s="24"/>
      <c r="R19" s="24"/>
      <c r="S19" s="24"/>
      <c r="T19" s="24"/>
      <c r="U19" s="24"/>
      <c r="V19" s="24"/>
      <c r="W19" s="24"/>
      <c r="X19" s="24"/>
      <c r="Y19" s="24"/>
      <c r="Z19" s="24"/>
      <c r="AA19" s="261"/>
    </row>
    <row r="20" spans="1:27" ht="21.6" customHeight="1">
      <c r="A20" s="1854"/>
      <c r="B20" s="1409" t="s">
        <v>155</v>
      </c>
      <c r="C20" s="253" t="s">
        <v>19</v>
      </c>
      <c r="D20" s="253"/>
      <c r="E20" s="253"/>
      <c r="F20" s="252"/>
      <c r="G20" s="253">
        <v>1900</v>
      </c>
      <c r="H20" s="253"/>
      <c r="I20" s="253"/>
      <c r="J20" s="253"/>
      <c r="K20" s="253"/>
      <c r="L20" s="253"/>
      <c r="M20" s="253"/>
      <c r="N20" s="253"/>
      <c r="O20" s="253"/>
      <c r="P20" s="253"/>
      <c r="Q20" s="253"/>
      <c r="R20" s="253"/>
      <c r="S20" s="253"/>
      <c r="T20" s="253"/>
      <c r="U20" s="253"/>
      <c r="V20" s="253"/>
      <c r="W20" s="253"/>
      <c r="X20" s="253"/>
      <c r="Y20" s="253"/>
      <c r="Z20" s="253">
        <v>2</v>
      </c>
      <c r="AA20" s="263" t="s">
        <v>236</v>
      </c>
    </row>
    <row r="21" spans="1:27" ht="16.899999999999999" customHeight="1">
      <c r="A21" s="1854"/>
      <c r="B21" s="1409"/>
      <c r="C21" s="24" t="s">
        <v>20</v>
      </c>
      <c r="D21" s="24"/>
      <c r="E21" s="24"/>
      <c r="F21" s="24"/>
      <c r="G21" s="24"/>
      <c r="H21" s="24"/>
      <c r="I21" s="24"/>
      <c r="J21" s="24"/>
      <c r="K21" s="24"/>
      <c r="L21" s="24"/>
      <c r="M21" s="24"/>
      <c r="N21" s="24"/>
      <c r="O21" s="24"/>
      <c r="P21" s="24"/>
      <c r="Q21" s="24"/>
      <c r="R21" s="24"/>
      <c r="S21" s="24"/>
      <c r="T21" s="24"/>
      <c r="U21" s="24"/>
      <c r="V21" s="24"/>
      <c r="W21" s="24"/>
      <c r="X21" s="24"/>
      <c r="Y21" s="24"/>
      <c r="Z21" s="24"/>
      <c r="AA21" s="261"/>
    </row>
    <row r="22" spans="1:27" ht="19.149999999999999" customHeight="1">
      <c r="A22" s="1854"/>
      <c r="B22" s="1409" t="s">
        <v>172</v>
      </c>
      <c r="C22" s="253" t="s">
        <v>19</v>
      </c>
      <c r="D22" s="253"/>
      <c r="E22" s="253"/>
      <c r="F22" s="252"/>
      <c r="G22" s="253">
        <v>3400</v>
      </c>
      <c r="H22" s="253"/>
      <c r="I22" s="253"/>
      <c r="J22" s="253"/>
      <c r="K22" s="253"/>
      <c r="L22" s="253"/>
      <c r="M22" s="253"/>
      <c r="N22" s="253"/>
      <c r="O22" s="253"/>
      <c r="P22" s="253"/>
      <c r="Q22" s="253"/>
      <c r="R22" s="253"/>
      <c r="S22" s="253"/>
      <c r="T22" s="253"/>
      <c r="U22" s="253"/>
      <c r="V22" s="253"/>
      <c r="W22" s="253"/>
      <c r="X22" s="253"/>
      <c r="Y22" s="253"/>
      <c r="Z22" s="253">
        <v>2</v>
      </c>
      <c r="AA22" s="263" t="s">
        <v>236</v>
      </c>
    </row>
    <row r="23" spans="1:27" ht="19.149999999999999" customHeight="1">
      <c r="A23" s="1854"/>
      <c r="B23" s="1409"/>
      <c r="C23" s="24" t="s">
        <v>20</v>
      </c>
      <c r="D23" s="24"/>
      <c r="E23" s="24"/>
      <c r="F23" s="24"/>
      <c r="G23" s="24"/>
      <c r="H23" s="24"/>
      <c r="I23" s="24"/>
      <c r="J23" s="24"/>
      <c r="K23" s="24"/>
      <c r="L23" s="24"/>
      <c r="M23" s="24"/>
      <c r="N23" s="24"/>
      <c r="O23" s="24"/>
      <c r="P23" s="24"/>
      <c r="Q23" s="24"/>
      <c r="R23" s="24"/>
      <c r="S23" s="24"/>
      <c r="T23" s="24"/>
      <c r="U23" s="24"/>
      <c r="V23" s="24"/>
      <c r="W23" s="24"/>
      <c r="X23" s="24"/>
      <c r="Y23" s="24"/>
      <c r="Z23" s="24"/>
      <c r="AA23" s="115"/>
    </row>
    <row r="24" spans="1:27" ht="21" customHeight="1">
      <c r="A24" s="1854"/>
      <c r="B24" s="1409" t="s">
        <v>174</v>
      </c>
      <c r="C24" s="253" t="s">
        <v>19</v>
      </c>
      <c r="D24" s="253"/>
      <c r="E24" s="253"/>
      <c r="F24" s="252"/>
      <c r="G24" s="253">
        <v>2900</v>
      </c>
      <c r="H24" s="253"/>
      <c r="I24" s="253"/>
      <c r="J24" s="253"/>
      <c r="K24" s="253"/>
      <c r="L24" s="253"/>
      <c r="M24" s="253"/>
      <c r="N24" s="253"/>
      <c r="O24" s="253"/>
      <c r="P24" s="253"/>
      <c r="Q24" s="253"/>
      <c r="R24" s="253"/>
      <c r="S24" s="253"/>
      <c r="T24" s="253"/>
      <c r="U24" s="253"/>
      <c r="V24" s="253"/>
      <c r="W24" s="253"/>
      <c r="X24" s="253"/>
      <c r="Y24" s="253"/>
      <c r="Z24" s="253">
        <v>2</v>
      </c>
      <c r="AA24" s="263" t="s">
        <v>236</v>
      </c>
    </row>
    <row r="25" spans="1:27" ht="17.45" customHeight="1">
      <c r="A25" s="1854"/>
      <c r="B25" s="1409"/>
      <c r="C25" s="24" t="s">
        <v>20</v>
      </c>
      <c r="D25" s="24"/>
      <c r="E25" s="24"/>
      <c r="F25" s="24"/>
      <c r="G25" s="24"/>
      <c r="H25" s="24"/>
      <c r="I25" s="24"/>
      <c r="J25" s="24"/>
      <c r="K25" s="24"/>
      <c r="L25" s="24"/>
      <c r="M25" s="24"/>
      <c r="N25" s="24"/>
      <c r="O25" s="24"/>
      <c r="P25" s="24"/>
      <c r="Q25" s="24"/>
      <c r="R25" s="24"/>
      <c r="S25" s="24"/>
      <c r="T25" s="24"/>
      <c r="U25" s="24"/>
      <c r="V25" s="24"/>
      <c r="W25" s="24"/>
      <c r="X25" s="24"/>
      <c r="Y25" s="24"/>
      <c r="Z25" s="24"/>
      <c r="AA25" s="115"/>
    </row>
    <row r="26" spans="1:27" ht="16.899999999999999" customHeight="1">
      <c r="A26" s="1854"/>
      <c r="B26" s="1409" t="s">
        <v>173</v>
      </c>
      <c r="C26" s="253" t="s">
        <v>19</v>
      </c>
      <c r="D26" s="253"/>
      <c r="E26" s="253"/>
      <c r="F26" s="252"/>
      <c r="G26" s="253">
        <v>4900</v>
      </c>
      <c r="H26" s="253"/>
      <c r="I26" s="253"/>
      <c r="J26" s="253"/>
      <c r="K26" s="253"/>
      <c r="L26" s="253"/>
      <c r="M26" s="253"/>
      <c r="N26" s="253"/>
      <c r="O26" s="253"/>
      <c r="P26" s="253"/>
      <c r="Q26" s="253"/>
      <c r="R26" s="253"/>
      <c r="S26" s="253"/>
      <c r="T26" s="253"/>
      <c r="U26" s="253"/>
      <c r="V26" s="253"/>
      <c r="W26" s="253"/>
      <c r="X26" s="253"/>
      <c r="Y26" s="253"/>
      <c r="Z26" s="253">
        <v>3</v>
      </c>
      <c r="AA26" s="263" t="s">
        <v>237</v>
      </c>
    </row>
    <row r="27" spans="1:27" ht="20.45" customHeight="1">
      <c r="A27" s="1854"/>
      <c r="B27" s="1409"/>
      <c r="C27" s="24" t="s">
        <v>20</v>
      </c>
      <c r="D27" s="24"/>
      <c r="E27" s="24"/>
      <c r="F27" s="24"/>
      <c r="G27" s="24"/>
      <c r="H27" s="24"/>
      <c r="I27" s="24"/>
      <c r="J27" s="24"/>
      <c r="K27" s="24"/>
      <c r="L27" s="24"/>
      <c r="M27" s="24"/>
      <c r="N27" s="24"/>
      <c r="O27" s="24"/>
      <c r="P27" s="24"/>
      <c r="Q27" s="24"/>
      <c r="R27" s="24"/>
      <c r="S27" s="24"/>
      <c r="T27" s="24"/>
      <c r="U27" s="24"/>
      <c r="V27" s="24"/>
      <c r="W27" s="24"/>
      <c r="X27" s="24"/>
      <c r="Y27" s="24"/>
      <c r="Z27" s="24"/>
      <c r="AA27" s="115"/>
    </row>
    <row r="28" spans="1:27" ht="22.15" customHeight="1">
      <c r="A28" s="1854"/>
      <c r="B28" s="1409" t="s">
        <v>169</v>
      </c>
      <c r="C28" s="253" t="s">
        <v>19</v>
      </c>
      <c r="D28" s="253"/>
      <c r="E28" s="253"/>
      <c r="F28" s="252"/>
      <c r="G28" s="253">
        <v>7600</v>
      </c>
      <c r="H28" s="253"/>
      <c r="I28" s="253"/>
      <c r="J28" s="253"/>
      <c r="K28" s="253"/>
      <c r="L28" s="253"/>
      <c r="M28" s="253"/>
      <c r="N28" s="253"/>
      <c r="O28" s="253"/>
      <c r="P28" s="253"/>
      <c r="Q28" s="253"/>
      <c r="R28" s="253"/>
      <c r="S28" s="253"/>
      <c r="T28" s="253"/>
      <c r="U28" s="253"/>
      <c r="V28" s="253"/>
      <c r="W28" s="253"/>
      <c r="X28" s="253"/>
      <c r="Y28" s="253"/>
      <c r="Z28" s="253">
        <v>3</v>
      </c>
      <c r="AA28" s="263" t="s">
        <v>236</v>
      </c>
    </row>
    <row r="29" spans="1:27" ht="20.45" customHeight="1">
      <c r="A29" s="1854"/>
      <c r="B29" s="1409"/>
      <c r="C29" s="24" t="s">
        <v>20</v>
      </c>
      <c r="D29" s="24"/>
      <c r="E29" s="24"/>
      <c r="F29" s="24"/>
      <c r="G29" s="24"/>
      <c r="H29" s="24"/>
      <c r="I29" s="24"/>
      <c r="J29" s="24"/>
      <c r="K29" s="24"/>
      <c r="L29" s="24"/>
      <c r="M29" s="24"/>
      <c r="N29" s="24"/>
      <c r="O29" s="24"/>
      <c r="P29" s="24"/>
      <c r="Q29" s="24"/>
      <c r="R29" s="24"/>
      <c r="S29" s="24"/>
      <c r="T29" s="24"/>
      <c r="U29" s="24"/>
      <c r="V29" s="24"/>
      <c r="W29" s="24"/>
      <c r="X29" s="24"/>
      <c r="Y29" s="24"/>
      <c r="Z29" s="24"/>
      <c r="AA29" s="115"/>
    </row>
    <row r="30" spans="1:27" ht="22.15" customHeight="1">
      <c r="A30" s="1854"/>
      <c r="B30" s="1409" t="s">
        <v>170</v>
      </c>
      <c r="C30" s="253" t="s">
        <v>19</v>
      </c>
      <c r="D30" s="253"/>
      <c r="E30" s="253"/>
      <c r="F30" s="252"/>
      <c r="G30" s="253">
        <v>3300</v>
      </c>
      <c r="H30" s="253"/>
      <c r="I30" s="253"/>
      <c r="J30" s="253"/>
      <c r="K30" s="253"/>
      <c r="L30" s="253"/>
      <c r="M30" s="253"/>
      <c r="N30" s="253"/>
      <c r="O30" s="253"/>
      <c r="P30" s="253"/>
      <c r="Q30" s="253"/>
      <c r="R30" s="253"/>
      <c r="S30" s="253"/>
      <c r="T30" s="253"/>
      <c r="U30" s="253"/>
      <c r="V30" s="253"/>
      <c r="W30" s="253"/>
      <c r="X30" s="253"/>
      <c r="Y30" s="253"/>
      <c r="Z30" s="253">
        <v>4</v>
      </c>
      <c r="AA30" s="263" t="s">
        <v>236</v>
      </c>
    </row>
    <row r="31" spans="1:27" ht="22.15" customHeight="1">
      <c r="A31" s="1854"/>
      <c r="B31" s="1409"/>
      <c r="C31" s="24" t="s">
        <v>20</v>
      </c>
      <c r="D31" s="24"/>
      <c r="E31" s="24"/>
      <c r="F31" s="24"/>
      <c r="G31" s="24"/>
      <c r="H31" s="24"/>
      <c r="I31" s="24"/>
      <c r="J31" s="24"/>
      <c r="K31" s="24"/>
      <c r="L31" s="24"/>
      <c r="M31" s="24"/>
      <c r="N31" s="24"/>
      <c r="O31" s="24"/>
      <c r="P31" s="24"/>
      <c r="Q31" s="24"/>
      <c r="R31" s="24"/>
      <c r="S31" s="24"/>
      <c r="T31" s="24"/>
      <c r="U31" s="24"/>
      <c r="V31" s="24"/>
      <c r="W31" s="24"/>
      <c r="X31" s="24"/>
      <c r="Y31" s="24"/>
      <c r="Z31" s="24"/>
      <c r="AA31" s="115"/>
    </row>
    <row r="32" spans="1:27" ht="19.899999999999999" customHeight="1">
      <c r="A32" s="1854"/>
      <c r="B32" s="1409" t="s">
        <v>171</v>
      </c>
      <c r="C32" s="253" t="s">
        <v>19</v>
      </c>
      <c r="D32" s="253"/>
      <c r="E32" s="253"/>
      <c r="F32" s="252"/>
      <c r="G32" s="253">
        <v>3000</v>
      </c>
      <c r="H32" s="253"/>
      <c r="I32" s="253"/>
      <c r="J32" s="253"/>
      <c r="K32" s="253"/>
      <c r="L32" s="253"/>
      <c r="M32" s="253"/>
      <c r="N32" s="253"/>
      <c r="O32" s="253"/>
      <c r="P32" s="253"/>
      <c r="Q32" s="253"/>
      <c r="R32" s="253"/>
      <c r="S32" s="253"/>
      <c r="T32" s="253"/>
      <c r="U32" s="253"/>
      <c r="V32" s="253"/>
      <c r="W32" s="253"/>
      <c r="X32" s="253"/>
      <c r="Y32" s="253"/>
      <c r="Z32" s="253">
        <v>3</v>
      </c>
      <c r="AA32" s="263" t="s">
        <v>236</v>
      </c>
    </row>
    <row r="33" spans="1:27" ht="21.6" customHeight="1" thickBot="1">
      <c r="A33" s="1368"/>
      <c r="B33" s="1438"/>
      <c r="C33" s="150" t="s">
        <v>20</v>
      </c>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261"/>
    </row>
    <row r="34" spans="1:27" ht="21" customHeight="1">
      <c r="A34" s="1367" t="s">
        <v>34</v>
      </c>
      <c r="B34" s="1425" t="s">
        <v>238</v>
      </c>
      <c r="C34" s="22" t="s">
        <v>19</v>
      </c>
      <c r="D34" s="23"/>
      <c r="E34" s="23"/>
      <c r="F34" s="264"/>
      <c r="G34" s="22">
        <v>0</v>
      </c>
      <c r="H34" s="217"/>
      <c r="I34" s="217"/>
      <c r="J34" s="217"/>
      <c r="K34" s="217"/>
      <c r="L34" s="217"/>
      <c r="M34" s="217"/>
      <c r="N34" s="217"/>
      <c r="O34" s="217"/>
      <c r="P34" s="217"/>
      <c r="Q34" s="217"/>
      <c r="R34" s="217"/>
      <c r="S34" s="217"/>
      <c r="T34" s="217"/>
      <c r="U34" s="217"/>
      <c r="V34" s="217"/>
      <c r="W34" s="217"/>
      <c r="X34" s="217"/>
      <c r="Y34" s="23"/>
      <c r="Z34" s="23"/>
      <c r="AA34" s="114"/>
    </row>
    <row r="35" spans="1:27" ht="22.15" customHeight="1">
      <c r="A35" s="1854"/>
      <c r="B35" s="1409"/>
      <c r="C35" s="24" t="s">
        <v>20</v>
      </c>
      <c r="D35" s="24"/>
      <c r="E35" s="24"/>
      <c r="F35" s="150"/>
      <c r="G35" s="150"/>
      <c r="H35" s="150"/>
      <c r="I35" s="150"/>
      <c r="J35" s="150"/>
      <c r="K35" s="150"/>
      <c r="L35" s="150"/>
      <c r="M35" s="150"/>
      <c r="N35" s="150"/>
      <c r="O35" s="150"/>
      <c r="P35" s="150"/>
      <c r="Q35" s="150"/>
      <c r="R35" s="150"/>
      <c r="S35" s="150"/>
      <c r="T35" s="259"/>
      <c r="U35" s="259"/>
      <c r="V35" s="259"/>
      <c r="W35" s="259"/>
      <c r="X35" s="150"/>
      <c r="Y35" s="27"/>
      <c r="Z35" s="27"/>
      <c r="AA35" s="115"/>
    </row>
    <row r="36" spans="1:27" ht="23.45" customHeight="1">
      <c r="A36" s="1854"/>
      <c r="B36" s="1409" t="s">
        <v>239</v>
      </c>
      <c r="C36" s="253" t="s">
        <v>19</v>
      </c>
      <c r="D36" s="253"/>
      <c r="E36" s="253"/>
      <c r="F36" s="265"/>
      <c r="G36" s="253">
        <v>0</v>
      </c>
      <c r="H36" s="222"/>
      <c r="I36" s="222"/>
      <c r="J36" s="222"/>
      <c r="K36" s="222"/>
      <c r="L36" s="222"/>
      <c r="M36" s="222"/>
      <c r="N36" s="222"/>
      <c r="O36" s="222"/>
      <c r="P36" s="222"/>
      <c r="Q36" s="222"/>
      <c r="R36" s="222"/>
      <c r="S36" s="222"/>
      <c r="T36" s="222"/>
      <c r="U36" s="222"/>
      <c r="V36" s="222"/>
      <c r="W36" s="222"/>
      <c r="X36" s="222"/>
      <c r="Y36" s="30"/>
      <c r="Z36" s="30"/>
      <c r="AA36" s="263"/>
    </row>
    <row r="37" spans="1:27" ht="21" customHeight="1">
      <c r="A37" s="1854"/>
      <c r="B37" s="1409"/>
      <c r="C37" s="24" t="s">
        <v>20</v>
      </c>
      <c r="D37" s="24"/>
      <c r="E37" s="24"/>
      <c r="F37" s="24"/>
      <c r="G37" s="24"/>
      <c r="H37" s="24"/>
      <c r="I37" s="24"/>
      <c r="J37" s="24"/>
      <c r="K37" s="24"/>
      <c r="L37" s="24"/>
      <c r="M37" s="24"/>
      <c r="N37" s="24"/>
      <c r="O37" s="24"/>
      <c r="P37" s="24"/>
      <c r="Q37" s="24"/>
      <c r="R37" s="24"/>
      <c r="S37" s="24"/>
      <c r="T37" s="25"/>
      <c r="U37" s="25"/>
      <c r="V37" s="25"/>
      <c r="W37" s="25"/>
      <c r="X37" s="24"/>
      <c r="Y37" s="27"/>
      <c r="Z37" s="27"/>
      <c r="AA37" s="115"/>
    </row>
    <row r="38" spans="1:27" ht="18.600000000000001" customHeight="1">
      <c r="A38" s="1854"/>
      <c r="B38" s="1409" t="s">
        <v>240</v>
      </c>
      <c r="C38" s="253" t="s">
        <v>19</v>
      </c>
      <c r="D38" s="253"/>
      <c r="E38" s="253"/>
      <c r="F38" s="253"/>
      <c r="G38" s="253">
        <v>0</v>
      </c>
      <c r="H38" s="253"/>
      <c r="I38" s="253"/>
      <c r="J38" s="253"/>
      <c r="K38" s="253"/>
      <c r="L38" s="253"/>
      <c r="M38" s="253"/>
      <c r="N38" s="253"/>
      <c r="O38" s="253"/>
      <c r="P38" s="253"/>
      <c r="Q38" s="253"/>
      <c r="R38" s="253"/>
      <c r="S38" s="253"/>
      <c r="T38" s="28"/>
      <c r="U38" s="28"/>
      <c r="V38" s="28"/>
      <c r="W38" s="28"/>
      <c r="X38" s="253"/>
      <c r="Y38" s="30"/>
      <c r="Z38" s="30"/>
      <c r="AA38" s="263"/>
    </row>
    <row r="39" spans="1:27" ht="20.45" customHeight="1">
      <c r="A39" s="1854"/>
      <c r="B39" s="1409"/>
      <c r="C39" s="24" t="s">
        <v>20</v>
      </c>
      <c r="D39" s="24"/>
      <c r="E39" s="24"/>
      <c r="F39" s="24"/>
      <c r="G39" s="24"/>
      <c r="H39" s="24"/>
      <c r="I39" s="24"/>
      <c r="J39" s="24"/>
      <c r="K39" s="24"/>
      <c r="L39" s="24"/>
      <c r="M39" s="24"/>
      <c r="N39" s="24"/>
      <c r="O39" s="24"/>
      <c r="P39" s="24"/>
      <c r="Q39" s="24"/>
      <c r="R39" s="24"/>
      <c r="S39" s="24"/>
      <c r="T39" s="25"/>
      <c r="U39" s="25"/>
      <c r="V39" s="25"/>
      <c r="W39" s="25"/>
      <c r="X39" s="24"/>
      <c r="Y39" s="27"/>
      <c r="Z39" s="27"/>
      <c r="AA39" s="115"/>
    </row>
    <row r="40" spans="1:27" ht="22.9" customHeight="1">
      <c r="A40" s="1854"/>
      <c r="B40" s="1409" t="s">
        <v>241</v>
      </c>
      <c r="C40" s="253" t="s">
        <v>19</v>
      </c>
      <c r="D40" s="253"/>
      <c r="E40" s="253"/>
      <c r="F40" s="265"/>
      <c r="G40" s="253">
        <v>0</v>
      </c>
      <c r="H40" s="222"/>
      <c r="I40" s="222"/>
      <c r="J40" s="222"/>
      <c r="K40" s="222"/>
      <c r="L40" s="222"/>
      <c r="M40" s="222"/>
      <c r="N40" s="222"/>
      <c r="O40" s="222"/>
      <c r="P40" s="222"/>
      <c r="Q40" s="222"/>
      <c r="R40" s="222"/>
      <c r="S40" s="222"/>
      <c r="T40" s="222"/>
      <c r="U40" s="222"/>
      <c r="V40" s="222"/>
      <c r="W40" s="222"/>
      <c r="X40" s="222"/>
      <c r="Y40" s="30"/>
      <c r="Z40" s="30"/>
      <c r="AA40" s="263"/>
    </row>
    <row r="41" spans="1:27" ht="22.15" customHeight="1" thickBot="1">
      <c r="A41" s="1852"/>
      <c r="B41" s="1855"/>
      <c r="C41" s="21" t="s">
        <v>20</v>
      </c>
      <c r="D41" s="21"/>
      <c r="E41" s="21"/>
      <c r="F41" s="21"/>
      <c r="G41" s="21"/>
      <c r="H41" s="21"/>
      <c r="I41" s="21"/>
      <c r="J41" s="21"/>
      <c r="K41" s="21"/>
      <c r="L41" s="21"/>
      <c r="M41" s="21"/>
      <c r="N41" s="21"/>
      <c r="O41" s="21"/>
      <c r="P41" s="21"/>
      <c r="Q41" s="21"/>
      <c r="R41" s="21"/>
      <c r="S41" s="21"/>
      <c r="T41" s="31"/>
      <c r="U41" s="31"/>
      <c r="V41" s="31"/>
      <c r="W41" s="31"/>
      <c r="X41" s="21"/>
      <c r="Y41" s="33"/>
      <c r="Z41" s="33"/>
      <c r="AA41" s="116"/>
    </row>
    <row r="42" spans="1:27" ht="22.9" customHeight="1">
      <c r="A42" s="1849" t="s">
        <v>242</v>
      </c>
      <c r="B42" s="1369" t="s">
        <v>243</v>
      </c>
      <c r="C42" s="22" t="s">
        <v>19</v>
      </c>
      <c r="D42" s="22"/>
      <c r="E42" s="22"/>
      <c r="F42" s="22"/>
      <c r="G42" s="22">
        <v>14400</v>
      </c>
      <c r="H42" s="22"/>
      <c r="I42" s="22"/>
      <c r="J42" s="22"/>
      <c r="K42" s="22"/>
      <c r="L42" s="22"/>
      <c r="M42" s="22"/>
      <c r="N42" s="22"/>
      <c r="O42" s="22"/>
      <c r="P42" s="22"/>
      <c r="Q42" s="22"/>
      <c r="R42" s="22"/>
      <c r="S42" s="22"/>
      <c r="T42" s="34"/>
      <c r="U42" s="34"/>
      <c r="V42" s="34"/>
      <c r="W42" s="34"/>
      <c r="X42" s="22"/>
      <c r="Y42" s="23"/>
      <c r="Z42" s="23"/>
      <c r="AA42" s="114"/>
    </row>
    <row r="43" spans="1:27" ht="21" customHeight="1">
      <c r="A43" s="1850"/>
      <c r="B43" s="1851"/>
      <c r="C43" s="24" t="s">
        <v>20</v>
      </c>
      <c r="D43" s="24"/>
      <c r="E43" s="24"/>
      <c r="F43" s="24"/>
      <c r="G43" s="24"/>
      <c r="H43" s="24"/>
      <c r="I43" s="24"/>
      <c r="J43" s="24"/>
      <c r="K43" s="24"/>
      <c r="L43" s="24"/>
      <c r="M43" s="24"/>
      <c r="N43" s="24"/>
      <c r="O43" s="24"/>
      <c r="P43" s="24"/>
      <c r="Q43" s="24"/>
      <c r="R43" s="24"/>
      <c r="S43" s="24"/>
      <c r="T43" s="25"/>
      <c r="U43" s="25"/>
      <c r="V43" s="25"/>
      <c r="W43" s="25"/>
      <c r="X43" s="24"/>
      <c r="Y43" s="27"/>
      <c r="Z43" s="27"/>
      <c r="AA43" s="115"/>
    </row>
    <row r="44" spans="1:27" ht="22.15" customHeight="1">
      <c r="A44" s="1850"/>
      <c r="B44" s="1438" t="s">
        <v>244</v>
      </c>
      <c r="C44" s="253" t="s">
        <v>19</v>
      </c>
      <c r="D44" s="253"/>
      <c r="E44" s="253"/>
      <c r="F44" s="253"/>
      <c r="G44" s="253">
        <v>15050</v>
      </c>
      <c r="H44" s="253"/>
      <c r="I44" s="253"/>
      <c r="J44" s="253"/>
      <c r="K44" s="253"/>
      <c r="L44" s="253"/>
      <c r="M44" s="253"/>
      <c r="N44" s="253"/>
      <c r="O44" s="253"/>
      <c r="P44" s="253"/>
      <c r="Q44" s="253"/>
      <c r="R44" s="253"/>
      <c r="S44" s="253"/>
      <c r="T44" s="28"/>
      <c r="U44" s="28"/>
      <c r="V44" s="28"/>
      <c r="W44" s="28"/>
      <c r="X44" s="253"/>
      <c r="Y44" s="30"/>
      <c r="Z44" s="30"/>
      <c r="AA44" s="263"/>
    </row>
    <row r="45" spans="1:27" ht="22.9" customHeight="1" thickBot="1">
      <c r="A45" s="1850"/>
      <c r="B45" s="1370"/>
      <c r="C45" s="150" t="s">
        <v>20</v>
      </c>
      <c r="D45" s="150"/>
      <c r="E45" s="150"/>
      <c r="F45" s="150"/>
      <c r="G45" s="150"/>
      <c r="H45" s="150"/>
      <c r="I45" s="150"/>
      <c r="J45" s="150"/>
      <c r="K45" s="150"/>
      <c r="L45" s="150"/>
      <c r="M45" s="150"/>
      <c r="N45" s="150"/>
      <c r="O45" s="150"/>
      <c r="P45" s="150"/>
      <c r="Q45" s="150"/>
      <c r="R45" s="150"/>
      <c r="S45" s="150"/>
      <c r="T45" s="259"/>
      <c r="U45" s="259"/>
      <c r="V45" s="259"/>
      <c r="W45" s="259"/>
      <c r="X45" s="150"/>
      <c r="Y45" s="260"/>
      <c r="Z45" s="260"/>
      <c r="AA45" s="261"/>
    </row>
    <row r="46" spans="1:27" ht="21.6" customHeight="1">
      <c r="A46" s="1849" t="s">
        <v>245</v>
      </c>
      <c r="B46" s="1369" t="s">
        <v>165</v>
      </c>
      <c r="C46" s="22" t="s">
        <v>19</v>
      </c>
      <c r="D46" s="22"/>
      <c r="E46" s="22"/>
      <c r="F46" s="264"/>
      <c r="G46" s="22">
        <v>7850</v>
      </c>
      <c r="H46" s="217"/>
      <c r="I46" s="217"/>
      <c r="J46" s="217"/>
      <c r="K46" s="217"/>
      <c r="L46" s="217"/>
      <c r="M46" s="217"/>
      <c r="N46" s="217"/>
      <c r="O46" s="217"/>
      <c r="P46" s="217"/>
      <c r="Q46" s="217"/>
      <c r="R46" s="217"/>
      <c r="S46" s="217"/>
      <c r="T46" s="217"/>
      <c r="U46" s="217"/>
      <c r="V46" s="217"/>
      <c r="W46" s="217"/>
      <c r="X46" s="217"/>
      <c r="Y46" s="23"/>
      <c r="Z46" s="23"/>
      <c r="AA46" s="114"/>
    </row>
    <row r="47" spans="1:27" ht="19.149999999999999" customHeight="1">
      <c r="A47" s="1850"/>
      <c r="B47" s="1851"/>
      <c r="C47" s="24" t="s">
        <v>20</v>
      </c>
      <c r="D47" s="24"/>
      <c r="E47" s="24"/>
      <c r="F47" s="24"/>
      <c r="G47" s="24"/>
      <c r="H47" s="24"/>
      <c r="I47" s="24"/>
      <c r="J47" s="24"/>
      <c r="K47" s="24"/>
      <c r="L47" s="24"/>
      <c r="M47" s="24"/>
      <c r="N47" s="24"/>
      <c r="O47" s="24"/>
      <c r="P47" s="24"/>
      <c r="Q47" s="24"/>
      <c r="R47" s="24"/>
      <c r="S47" s="24"/>
      <c r="T47" s="25"/>
      <c r="U47" s="25"/>
      <c r="V47" s="25"/>
      <c r="W47" s="25"/>
      <c r="X47" s="24"/>
      <c r="Y47" s="27"/>
      <c r="Z47" s="27"/>
      <c r="AA47" s="115"/>
    </row>
    <row r="48" spans="1:27" ht="20.45" customHeight="1">
      <c r="A48" s="1850"/>
      <c r="B48" s="1438" t="s">
        <v>168</v>
      </c>
      <c r="C48" s="253" t="s">
        <v>19</v>
      </c>
      <c r="D48" s="253"/>
      <c r="E48" s="253"/>
      <c r="F48" s="265"/>
      <c r="G48" s="253">
        <v>10300</v>
      </c>
      <c r="H48" s="222"/>
      <c r="I48" s="222"/>
      <c r="J48" s="222"/>
      <c r="K48" s="222"/>
      <c r="L48" s="222"/>
      <c r="M48" s="222"/>
      <c r="N48" s="222"/>
      <c r="O48" s="222"/>
      <c r="P48" s="222"/>
      <c r="Q48" s="222"/>
      <c r="R48" s="222"/>
      <c r="S48" s="222"/>
      <c r="T48" s="222"/>
      <c r="U48" s="222"/>
      <c r="V48" s="222"/>
      <c r="W48" s="222"/>
      <c r="X48" s="222"/>
      <c r="Y48" s="30"/>
      <c r="Z48" s="30"/>
      <c r="AA48" s="263"/>
    </row>
    <row r="49" spans="1:27" ht="21.6" customHeight="1">
      <c r="A49" s="1850"/>
      <c r="B49" s="1851"/>
      <c r="C49" s="24" t="s">
        <v>20</v>
      </c>
      <c r="D49" s="24"/>
      <c r="E49" s="24"/>
      <c r="F49" s="24"/>
      <c r="G49" s="24"/>
      <c r="H49" s="24"/>
      <c r="I49" s="24"/>
      <c r="J49" s="24"/>
      <c r="K49" s="24"/>
      <c r="L49" s="24"/>
      <c r="M49" s="24"/>
      <c r="N49" s="24"/>
      <c r="O49" s="24"/>
      <c r="P49" s="24"/>
      <c r="Q49" s="24"/>
      <c r="R49" s="24"/>
      <c r="S49" s="24"/>
      <c r="T49" s="25"/>
      <c r="U49" s="25"/>
      <c r="V49" s="25"/>
      <c r="W49" s="25"/>
      <c r="X49" s="24"/>
      <c r="Y49" s="27"/>
      <c r="Z49" s="27"/>
      <c r="AA49" s="115"/>
    </row>
    <row r="50" spans="1:27" ht="21" customHeight="1">
      <c r="A50" s="1850"/>
      <c r="B50" s="1438" t="s">
        <v>166</v>
      </c>
      <c r="C50" s="253" t="s">
        <v>19</v>
      </c>
      <c r="D50" s="253"/>
      <c r="E50" s="253"/>
      <c r="F50" s="265"/>
      <c r="G50" s="253">
        <v>5950</v>
      </c>
      <c r="H50" s="222"/>
      <c r="I50" s="222"/>
      <c r="J50" s="222"/>
      <c r="K50" s="222"/>
      <c r="L50" s="222"/>
      <c r="M50" s="222"/>
      <c r="N50" s="222"/>
      <c r="O50" s="222"/>
      <c r="P50" s="222"/>
      <c r="Q50" s="222"/>
      <c r="R50" s="222"/>
      <c r="S50" s="222"/>
      <c r="T50" s="222"/>
      <c r="U50" s="222"/>
      <c r="V50" s="222"/>
      <c r="W50" s="222"/>
      <c r="X50" s="222"/>
      <c r="Y50" s="30"/>
      <c r="Z50" s="30">
        <v>5</v>
      </c>
      <c r="AA50" s="263" t="s">
        <v>246</v>
      </c>
    </row>
    <row r="51" spans="1:27" ht="19.899999999999999" customHeight="1" thickBot="1">
      <c r="A51" s="1856"/>
      <c r="B51" s="1401"/>
      <c r="C51" s="21" t="s">
        <v>20</v>
      </c>
      <c r="D51" s="21"/>
      <c r="E51" s="21"/>
      <c r="F51" s="21"/>
      <c r="G51" s="21"/>
      <c r="H51" s="21"/>
      <c r="I51" s="21"/>
      <c r="J51" s="21"/>
      <c r="K51" s="21"/>
      <c r="L51" s="21"/>
      <c r="M51" s="21"/>
      <c r="N51" s="21"/>
      <c r="O51" s="21"/>
      <c r="P51" s="21"/>
      <c r="Q51" s="21"/>
      <c r="R51" s="21"/>
      <c r="S51" s="21"/>
      <c r="T51" s="31"/>
      <c r="U51" s="31"/>
      <c r="V51" s="31"/>
      <c r="W51" s="31"/>
      <c r="X51" s="21"/>
      <c r="Y51" s="33"/>
      <c r="Z51" s="33"/>
      <c r="AA51" s="116"/>
    </row>
  </sheetData>
  <mergeCells count="45">
    <mergeCell ref="A42:A45"/>
    <mergeCell ref="B42:B43"/>
    <mergeCell ref="B44:B45"/>
    <mergeCell ref="A46:A51"/>
    <mergeCell ref="B46:B47"/>
    <mergeCell ref="B48:B49"/>
    <mergeCell ref="B50:B51"/>
    <mergeCell ref="A34:A41"/>
    <mergeCell ref="B34:B35"/>
    <mergeCell ref="B36:B37"/>
    <mergeCell ref="B38:B39"/>
    <mergeCell ref="B40:B41"/>
    <mergeCell ref="B16:B17"/>
    <mergeCell ref="F16:X16"/>
    <mergeCell ref="A18:A33"/>
    <mergeCell ref="B18:B19"/>
    <mergeCell ref="B20:B21"/>
    <mergeCell ref="B22:B23"/>
    <mergeCell ref="B24:B25"/>
    <mergeCell ref="B26:B27"/>
    <mergeCell ref="B28:B29"/>
    <mergeCell ref="B30:B31"/>
    <mergeCell ref="B32:B33"/>
    <mergeCell ref="B10:B11"/>
    <mergeCell ref="F10:X10"/>
    <mergeCell ref="B12:B13"/>
    <mergeCell ref="F12:X12"/>
    <mergeCell ref="B14:B15"/>
    <mergeCell ref="F14:X14"/>
    <mergeCell ref="Y2:Y3"/>
    <mergeCell ref="Z2:Z3"/>
    <mergeCell ref="AA2:AA3"/>
    <mergeCell ref="A4:A17"/>
    <mergeCell ref="B4:B5"/>
    <mergeCell ref="F4:X4"/>
    <mergeCell ref="B6:B7"/>
    <mergeCell ref="F6:X6"/>
    <mergeCell ref="B8:B9"/>
    <mergeCell ref="F8:X8"/>
    <mergeCell ref="A2:A3"/>
    <mergeCell ref="B2:B3"/>
    <mergeCell ref="C2:C3"/>
    <mergeCell ref="D2:S2"/>
    <mergeCell ref="T2:W2"/>
    <mergeCell ref="X2:X3"/>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T51"/>
  <sheetViews>
    <sheetView workbookViewId="0">
      <selection activeCell="D55" sqref="D55"/>
    </sheetView>
  </sheetViews>
  <sheetFormatPr defaultRowHeight="15"/>
  <cols>
    <col min="1" max="1" width="14.140625" customWidth="1"/>
    <col min="2" max="2" width="17.140625" customWidth="1"/>
    <col min="3" max="3" width="19.85546875" customWidth="1"/>
    <col min="20" max="20" width="10.42578125" customWidth="1"/>
  </cols>
  <sheetData>
    <row r="1" spans="1:20" ht="15.75" thickBot="1"/>
    <row r="2" spans="1:20">
      <c r="A2" s="1367" t="s">
        <v>14</v>
      </c>
      <c r="B2" s="1369" t="s">
        <v>0</v>
      </c>
      <c r="C2" s="1369" t="s">
        <v>21</v>
      </c>
      <c r="D2" s="1425" t="s">
        <v>24</v>
      </c>
      <c r="E2" s="1425"/>
      <c r="F2" s="1425"/>
      <c r="G2" s="1425"/>
      <c r="H2" s="1425"/>
      <c r="I2" s="1425"/>
      <c r="J2" s="1425"/>
      <c r="K2" s="1425"/>
      <c r="L2" s="1425"/>
      <c r="M2" s="1403" t="s">
        <v>17</v>
      </c>
      <c r="N2" s="1426"/>
      <c r="O2" s="1426"/>
      <c r="P2" s="1426"/>
      <c r="Q2" s="1426"/>
      <c r="R2" s="1426"/>
      <c r="S2" s="255" t="s">
        <v>18</v>
      </c>
      <c r="T2" s="1857" t="s">
        <v>40</v>
      </c>
    </row>
    <row r="3" spans="1:20" ht="15.75" thickBot="1">
      <c r="A3" s="1852"/>
      <c r="B3" s="1401"/>
      <c r="C3" s="1401"/>
      <c r="D3" s="257" t="s">
        <v>5</v>
      </c>
      <c r="E3" s="257" t="s">
        <v>6</v>
      </c>
      <c r="F3" s="257" t="s">
        <v>7</v>
      </c>
      <c r="G3" s="257" t="s">
        <v>8</v>
      </c>
      <c r="H3" s="257" t="s">
        <v>9</v>
      </c>
      <c r="I3" s="257" t="s">
        <v>10</v>
      </c>
      <c r="J3" s="257" t="s">
        <v>11</v>
      </c>
      <c r="K3" s="257" t="s">
        <v>12</v>
      </c>
      <c r="L3" s="257" t="s">
        <v>25</v>
      </c>
      <c r="M3" s="257" t="s">
        <v>1</v>
      </c>
      <c r="N3" s="257" t="s">
        <v>2</v>
      </c>
      <c r="O3" s="257" t="s">
        <v>3</v>
      </c>
      <c r="P3" s="258" t="s">
        <v>4</v>
      </c>
      <c r="Q3" s="258" t="s">
        <v>5</v>
      </c>
      <c r="R3" s="258" t="s">
        <v>6</v>
      </c>
      <c r="S3" s="258"/>
      <c r="T3" s="1858"/>
    </row>
    <row r="4" spans="1:20">
      <c r="A4" s="1849" t="s">
        <v>178</v>
      </c>
      <c r="B4" s="1369" t="s">
        <v>178</v>
      </c>
      <c r="C4" s="266" t="s">
        <v>20</v>
      </c>
      <c r="D4" s="266"/>
      <c r="E4" s="266"/>
      <c r="F4" s="266"/>
      <c r="G4" s="266"/>
      <c r="H4" s="266"/>
      <c r="I4" s="266"/>
      <c r="J4" s="266"/>
      <c r="K4" s="266"/>
      <c r="L4" s="266"/>
      <c r="M4" s="266"/>
      <c r="N4" s="266"/>
      <c r="O4" s="266"/>
      <c r="P4" s="266"/>
      <c r="Q4" s="266"/>
      <c r="R4" s="266"/>
      <c r="S4" s="266"/>
      <c r="T4" s="1859" t="s">
        <v>247</v>
      </c>
    </row>
    <row r="5" spans="1:20">
      <c r="A5" s="1850"/>
      <c r="B5" s="1851"/>
      <c r="C5" s="3" t="s">
        <v>19</v>
      </c>
      <c r="D5" s="3"/>
      <c r="E5" s="3">
        <v>4000</v>
      </c>
      <c r="F5" s="3"/>
      <c r="G5" s="3"/>
      <c r="H5" s="3"/>
      <c r="I5" s="3"/>
      <c r="J5" s="3"/>
      <c r="K5" s="3"/>
      <c r="L5" s="3"/>
      <c r="M5" s="3"/>
      <c r="N5" s="3"/>
      <c r="O5" s="3"/>
      <c r="P5" s="3"/>
      <c r="Q5" s="3"/>
      <c r="R5" s="3"/>
      <c r="S5" s="3"/>
      <c r="T5" s="1860"/>
    </row>
    <row r="6" spans="1:20">
      <c r="A6" s="1850"/>
      <c r="B6" s="1438" t="s">
        <v>226</v>
      </c>
      <c r="C6" s="4" t="s">
        <v>20</v>
      </c>
      <c r="D6" s="4"/>
      <c r="E6" s="4"/>
      <c r="F6" s="4"/>
      <c r="G6" s="4"/>
      <c r="H6" s="4"/>
      <c r="I6" s="4"/>
      <c r="J6" s="4"/>
      <c r="K6" s="4"/>
      <c r="L6" s="4"/>
      <c r="M6" s="4"/>
      <c r="N6" s="4"/>
      <c r="O6" s="4"/>
      <c r="P6" s="4"/>
      <c r="Q6" s="4"/>
      <c r="R6" s="4"/>
      <c r="S6" s="4"/>
      <c r="T6" s="1860"/>
    </row>
    <row r="7" spans="1:20">
      <c r="A7" s="1850"/>
      <c r="B7" s="1851"/>
      <c r="C7" s="3" t="s">
        <v>19</v>
      </c>
      <c r="D7" s="3"/>
      <c r="E7" s="3">
        <v>3400</v>
      </c>
      <c r="F7" s="3"/>
      <c r="G7" s="3"/>
      <c r="H7" s="3"/>
      <c r="I7" s="3"/>
      <c r="J7" s="3"/>
      <c r="K7" s="3"/>
      <c r="L7" s="3"/>
      <c r="M7" s="3"/>
      <c r="N7" s="3"/>
      <c r="O7" s="3"/>
      <c r="P7" s="3"/>
      <c r="Q7" s="3"/>
      <c r="R7" s="3"/>
      <c r="S7" s="3"/>
      <c r="T7" s="1860"/>
    </row>
    <row r="8" spans="1:20">
      <c r="A8" s="1850"/>
      <c r="B8" s="1438" t="s">
        <v>228</v>
      </c>
      <c r="C8" s="4" t="s">
        <v>20</v>
      </c>
      <c r="D8" s="4"/>
      <c r="E8" s="4"/>
      <c r="F8" s="4"/>
      <c r="G8" s="4"/>
      <c r="H8" s="4"/>
      <c r="I8" s="4"/>
      <c r="J8" s="4"/>
      <c r="K8" s="4"/>
      <c r="L8" s="4"/>
      <c r="M8" s="4"/>
      <c r="N8" s="4"/>
      <c r="O8" s="4"/>
      <c r="P8" s="4"/>
      <c r="Q8" s="4"/>
      <c r="R8" s="4"/>
      <c r="S8" s="4"/>
      <c r="T8" s="1860"/>
    </row>
    <row r="9" spans="1:20">
      <c r="A9" s="1850"/>
      <c r="B9" s="1851"/>
      <c r="C9" s="3" t="s">
        <v>19</v>
      </c>
      <c r="D9" s="3"/>
      <c r="E9" s="3">
        <v>5900</v>
      </c>
      <c r="F9" s="3">
        <v>1470</v>
      </c>
      <c r="G9" s="3"/>
      <c r="H9" s="3"/>
      <c r="I9" s="3"/>
      <c r="J9" s="3"/>
      <c r="K9" s="3"/>
      <c r="L9" s="3"/>
      <c r="M9" s="3">
        <v>1100</v>
      </c>
      <c r="N9" s="3"/>
      <c r="O9" s="3"/>
      <c r="P9" s="3"/>
      <c r="Q9" s="3"/>
      <c r="R9" s="3"/>
      <c r="S9" s="3">
        <v>5</v>
      </c>
      <c r="T9" s="1860"/>
    </row>
    <row r="10" spans="1:20">
      <c r="A10" s="1850"/>
      <c r="B10" s="1438" t="s">
        <v>229</v>
      </c>
      <c r="C10" s="4" t="s">
        <v>20</v>
      </c>
      <c r="D10" s="4"/>
      <c r="E10" s="4"/>
      <c r="F10" s="4"/>
      <c r="G10" s="4"/>
      <c r="H10" s="4"/>
      <c r="I10" s="4"/>
      <c r="J10" s="4"/>
      <c r="K10" s="4"/>
      <c r="L10" s="4"/>
      <c r="M10" s="4"/>
      <c r="N10" s="4"/>
      <c r="O10" s="4"/>
      <c r="P10" s="4"/>
      <c r="Q10" s="4"/>
      <c r="R10" s="4"/>
      <c r="S10" s="4"/>
      <c r="T10" s="4"/>
    </row>
    <row r="11" spans="1:20">
      <c r="A11" s="1850"/>
      <c r="B11" s="1851"/>
      <c r="C11" s="3" t="s">
        <v>19</v>
      </c>
      <c r="D11" s="3"/>
      <c r="E11" s="3">
        <v>5000</v>
      </c>
      <c r="F11" s="3"/>
      <c r="G11" s="3"/>
      <c r="H11" s="3"/>
      <c r="I11" s="3"/>
      <c r="J11" s="3"/>
      <c r="K11" s="3"/>
      <c r="L11" s="3"/>
      <c r="M11" s="3">
        <v>150</v>
      </c>
      <c r="N11" s="3"/>
      <c r="O11" s="3"/>
      <c r="P11" s="3"/>
      <c r="Q11" s="3"/>
      <c r="R11" s="3"/>
      <c r="S11" s="3">
        <v>1</v>
      </c>
      <c r="T11" s="267" t="s">
        <v>248</v>
      </c>
    </row>
    <row r="12" spans="1:20">
      <c r="A12" s="1850"/>
      <c r="B12" s="1438" t="s">
        <v>231</v>
      </c>
      <c r="C12" s="4" t="s">
        <v>20</v>
      </c>
      <c r="D12" s="4"/>
      <c r="E12" s="4"/>
      <c r="F12" s="4"/>
      <c r="G12" s="4"/>
      <c r="H12" s="4"/>
      <c r="I12" s="4"/>
      <c r="J12" s="4"/>
      <c r="K12" s="4"/>
      <c r="L12" s="4"/>
      <c r="M12" s="4"/>
      <c r="N12" s="4"/>
      <c r="O12" s="4"/>
      <c r="P12" s="4"/>
      <c r="Q12" s="4"/>
      <c r="R12" s="4"/>
      <c r="S12" s="4"/>
      <c r="T12" s="268"/>
    </row>
    <row r="13" spans="1:20">
      <c r="A13" s="1850"/>
      <c r="B13" s="1851"/>
      <c r="C13" s="3" t="s">
        <v>19</v>
      </c>
      <c r="D13" s="3"/>
      <c r="E13" s="3">
        <v>3600</v>
      </c>
      <c r="F13" s="3"/>
      <c r="G13" s="3"/>
      <c r="H13" s="3"/>
      <c r="I13" s="3"/>
      <c r="J13" s="3"/>
      <c r="K13" s="3"/>
      <c r="L13" s="3"/>
      <c r="M13" s="3">
        <v>900</v>
      </c>
      <c r="N13" s="3"/>
      <c r="O13" s="3"/>
      <c r="P13" s="3"/>
      <c r="Q13" s="3"/>
      <c r="R13" s="3"/>
      <c r="S13" s="3">
        <v>2</v>
      </c>
      <c r="T13" s="267" t="s">
        <v>249</v>
      </c>
    </row>
    <row r="14" spans="1:20">
      <c r="A14" s="1850"/>
      <c r="B14" s="1438" t="s">
        <v>233</v>
      </c>
      <c r="C14" s="4" t="s">
        <v>20</v>
      </c>
      <c r="D14" s="4"/>
      <c r="E14" s="4"/>
      <c r="F14" s="4"/>
      <c r="G14" s="4"/>
      <c r="H14" s="4"/>
      <c r="I14" s="4"/>
      <c r="J14" s="4"/>
      <c r="K14" s="4"/>
      <c r="L14" s="4"/>
      <c r="M14" s="4"/>
      <c r="N14" s="4"/>
      <c r="O14" s="4"/>
      <c r="P14" s="4"/>
      <c r="Q14" s="4"/>
      <c r="R14" s="4"/>
      <c r="S14" s="4"/>
      <c r="T14" s="268"/>
    </row>
    <row r="15" spans="1:20">
      <c r="A15" s="1850"/>
      <c r="B15" s="1851"/>
      <c r="C15" s="3" t="s">
        <v>19</v>
      </c>
      <c r="D15" s="3"/>
      <c r="E15" s="3">
        <v>5300</v>
      </c>
      <c r="F15" s="3"/>
      <c r="G15" s="3"/>
      <c r="H15" s="3"/>
      <c r="I15" s="3"/>
      <c r="J15" s="3"/>
      <c r="K15" s="3"/>
      <c r="L15" s="3"/>
      <c r="M15" s="3">
        <v>400</v>
      </c>
      <c r="N15" s="3"/>
      <c r="O15" s="3"/>
      <c r="P15" s="3"/>
      <c r="Q15" s="3"/>
      <c r="R15" s="3"/>
      <c r="S15" s="3">
        <v>1</v>
      </c>
      <c r="T15" s="267" t="s">
        <v>249</v>
      </c>
    </row>
    <row r="16" spans="1:20">
      <c r="A16" s="1850"/>
      <c r="B16" s="1438" t="s">
        <v>234</v>
      </c>
      <c r="C16" s="4" t="s">
        <v>20</v>
      </c>
      <c r="D16" s="4"/>
      <c r="E16" s="4"/>
      <c r="F16" s="4"/>
      <c r="G16" s="4"/>
      <c r="H16" s="4"/>
      <c r="I16" s="4"/>
      <c r="J16" s="4"/>
      <c r="K16" s="4"/>
      <c r="L16" s="4"/>
      <c r="M16" s="4"/>
      <c r="N16" s="4"/>
      <c r="O16" s="4"/>
      <c r="P16" s="4"/>
      <c r="Q16" s="4"/>
      <c r="R16" s="4"/>
      <c r="S16" s="4"/>
      <c r="T16" s="268"/>
    </row>
    <row r="17" spans="1:20" ht="15.75" thickBot="1">
      <c r="A17" s="1856"/>
      <c r="B17" s="1401"/>
      <c r="C17" s="269" t="s">
        <v>19</v>
      </c>
      <c r="D17" s="269"/>
      <c r="E17" s="269">
        <v>4000</v>
      </c>
      <c r="F17" s="269"/>
      <c r="G17" s="269"/>
      <c r="H17" s="269"/>
      <c r="I17" s="269"/>
      <c r="J17" s="269"/>
      <c r="K17" s="269"/>
      <c r="L17" s="269"/>
      <c r="M17" s="269"/>
      <c r="N17" s="269"/>
      <c r="O17" s="269"/>
      <c r="P17" s="269"/>
      <c r="Q17" s="269"/>
      <c r="R17" s="269"/>
      <c r="S17" s="269"/>
      <c r="T17" s="270" t="s">
        <v>250</v>
      </c>
    </row>
    <row r="18" spans="1:20">
      <c r="A18" s="1367" t="s">
        <v>169</v>
      </c>
      <c r="B18" s="1369" t="s">
        <v>175</v>
      </c>
      <c r="C18" s="266" t="s">
        <v>20</v>
      </c>
      <c r="D18" s="266"/>
      <c r="E18" s="266"/>
      <c r="F18" s="266"/>
      <c r="G18" s="266"/>
      <c r="H18" s="266"/>
      <c r="I18" s="266"/>
      <c r="J18" s="266"/>
      <c r="K18" s="266"/>
      <c r="L18" s="266"/>
      <c r="M18" s="266"/>
      <c r="N18" s="266"/>
      <c r="O18" s="266"/>
      <c r="P18" s="266"/>
      <c r="Q18" s="266"/>
      <c r="R18" s="266"/>
      <c r="S18" s="266"/>
      <c r="T18" s="271"/>
    </row>
    <row r="19" spans="1:20">
      <c r="A19" s="1854"/>
      <c r="B19" s="1851"/>
      <c r="C19" s="3" t="s">
        <v>19</v>
      </c>
      <c r="D19" s="3"/>
      <c r="E19" s="3">
        <v>2900</v>
      </c>
      <c r="F19" s="3"/>
      <c r="G19" s="3"/>
      <c r="H19" s="3"/>
      <c r="I19" s="3"/>
      <c r="J19" s="3"/>
      <c r="K19" s="3"/>
      <c r="L19" s="3"/>
      <c r="M19" s="3"/>
      <c r="N19" s="3"/>
      <c r="O19" s="3"/>
      <c r="P19" s="3"/>
      <c r="Q19" s="3"/>
      <c r="R19" s="3"/>
      <c r="S19" s="3"/>
      <c r="T19" s="267" t="s">
        <v>251</v>
      </c>
    </row>
    <row r="20" spans="1:20">
      <c r="A20" s="1854"/>
      <c r="B20" s="1409" t="s">
        <v>155</v>
      </c>
      <c r="C20" s="4" t="s">
        <v>20</v>
      </c>
      <c r="D20" s="4"/>
      <c r="E20" s="4"/>
      <c r="F20" s="4"/>
      <c r="G20" s="4"/>
      <c r="H20" s="4"/>
      <c r="I20" s="4"/>
      <c r="J20" s="4"/>
      <c r="K20" s="4"/>
      <c r="L20" s="4"/>
      <c r="M20" s="4"/>
      <c r="N20" s="4"/>
      <c r="O20" s="4"/>
      <c r="P20" s="4"/>
      <c r="Q20" s="4"/>
      <c r="R20" s="4"/>
      <c r="S20" s="4"/>
      <c r="T20" s="268"/>
    </row>
    <row r="21" spans="1:20">
      <c r="A21" s="1854"/>
      <c r="B21" s="1409"/>
      <c r="C21" s="3" t="s">
        <v>19</v>
      </c>
      <c r="D21" s="3"/>
      <c r="E21" s="3">
        <v>1900</v>
      </c>
      <c r="F21" s="3"/>
      <c r="G21" s="3"/>
      <c r="H21" s="3"/>
      <c r="I21" s="3"/>
      <c r="J21" s="3"/>
      <c r="K21" s="3"/>
      <c r="L21" s="3"/>
      <c r="M21" s="3"/>
      <c r="N21" s="3"/>
      <c r="O21" s="3"/>
      <c r="P21" s="3"/>
      <c r="Q21" s="3"/>
      <c r="R21" s="3"/>
      <c r="S21" s="3"/>
      <c r="T21" s="267" t="s">
        <v>252</v>
      </c>
    </row>
    <row r="22" spans="1:20">
      <c r="A22" s="1854"/>
      <c r="B22" s="1409" t="s">
        <v>172</v>
      </c>
      <c r="C22" s="4" t="s">
        <v>20</v>
      </c>
      <c r="D22" s="4"/>
      <c r="E22" s="4"/>
      <c r="F22" s="4"/>
      <c r="G22" s="4"/>
      <c r="H22" s="4"/>
      <c r="I22" s="4"/>
      <c r="J22" s="4"/>
      <c r="K22" s="4"/>
      <c r="L22" s="4"/>
      <c r="M22" s="4"/>
      <c r="N22" s="4"/>
      <c r="O22" s="4"/>
      <c r="P22" s="4"/>
      <c r="Q22" s="4"/>
      <c r="R22" s="4"/>
      <c r="S22" s="4"/>
      <c r="T22" s="268"/>
    </row>
    <row r="23" spans="1:20">
      <c r="A23" s="1854"/>
      <c r="B23" s="1409"/>
      <c r="C23" s="3" t="s">
        <v>19</v>
      </c>
      <c r="D23" s="3"/>
      <c r="E23" s="3">
        <v>3300</v>
      </c>
      <c r="F23" s="3"/>
      <c r="G23" s="3"/>
      <c r="H23" s="3"/>
      <c r="I23" s="3"/>
      <c r="J23" s="3"/>
      <c r="K23" s="3"/>
      <c r="L23" s="3"/>
      <c r="M23" s="3"/>
      <c r="N23" s="3"/>
      <c r="O23" s="3"/>
      <c r="P23" s="3"/>
      <c r="Q23" s="3"/>
      <c r="R23" s="3"/>
      <c r="S23" s="3"/>
      <c r="T23" s="267" t="s">
        <v>251</v>
      </c>
    </row>
    <row r="24" spans="1:20">
      <c r="A24" s="1854"/>
      <c r="B24" s="1409" t="s">
        <v>174</v>
      </c>
      <c r="C24" s="4" t="s">
        <v>20</v>
      </c>
      <c r="D24" s="4"/>
      <c r="E24" s="4"/>
      <c r="F24" s="4"/>
      <c r="G24" s="4"/>
      <c r="H24" s="4"/>
      <c r="I24" s="4"/>
      <c r="J24" s="4"/>
      <c r="K24" s="4"/>
      <c r="L24" s="4"/>
      <c r="M24" s="4"/>
      <c r="N24" s="4"/>
      <c r="O24" s="4"/>
      <c r="P24" s="4"/>
      <c r="Q24" s="4"/>
      <c r="R24" s="4"/>
      <c r="S24" s="4"/>
      <c r="T24" s="268"/>
    </row>
    <row r="25" spans="1:20">
      <c r="A25" s="1854"/>
      <c r="B25" s="1409"/>
      <c r="C25" s="3" t="s">
        <v>19</v>
      </c>
      <c r="D25" s="3"/>
      <c r="E25" s="3">
        <v>2900</v>
      </c>
      <c r="F25" s="3"/>
      <c r="G25" s="3"/>
      <c r="H25" s="3"/>
      <c r="I25" s="3"/>
      <c r="J25" s="3"/>
      <c r="K25" s="3"/>
      <c r="L25" s="3"/>
      <c r="M25" s="3"/>
      <c r="N25" s="3"/>
      <c r="O25" s="3"/>
      <c r="P25" s="3"/>
      <c r="Q25" s="3"/>
      <c r="R25" s="3"/>
      <c r="S25" s="3"/>
      <c r="T25" s="267" t="s">
        <v>251</v>
      </c>
    </row>
    <row r="26" spans="1:20">
      <c r="A26" s="1854"/>
      <c r="B26" s="1409" t="s">
        <v>173</v>
      </c>
      <c r="C26" s="4" t="s">
        <v>20</v>
      </c>
      <c r="D26" s="4"/>
      <c r="E26" s="4"/>
      <c r="F26" s="4"/>
      <c r="G26" s="4"/>
      <c r="H26" s="4"/>
      <c r="I26" s="4"/>
      <c r="J26" s="4"/>
      <c r="K26" s="4"/>
      <c r="L26" s="4"/>
      <c r="M26" s="4"/>
      <c r="N26" s="4"/>
      <c r="O26" s="4"/>
      <c r="P26" s="4"/>
      <c r="Q26" s="4"/>
      <c r="R26" s="4"/>
      <c r="S26" s="4"/>
      <c r="T26" s="268"/>
    </row>
    <row r="27" spans="1:20">
      <c r="A27" s="1854"/>
      <c r="B27" s="1409"/>
      <c r="C27" s="3" t="s">
        <v>19</v>
      </c>
      <c r="D27" s="3"/>
      <c r="E27" s="3">
        <v>4900</v>
      </c>
      <c r="F27" s="3"/>
      <c r="G27" s="3"/>
      <c r="H27" s="3"/>
      <c r="I27" s="3"/>
      <c r="J27" s="3"/>
      <c r="K27" s="3"/>
      <c r="L27" s="3"/>
      <c r="M27" s="3"/>
      <c r="N27" s="3"/>
      <c r="O27" s="3"/>
      <c r="P27" s="3"/>
      <c r="Q27" s="3"/>
      <c r="R27" s="3"/>
      <c r="S27" s="3"/>
      <c r="T27" s="267" t="s">
        <v>248</v>
      </c>
    </row>
    <row r="28" spans="1:20">
      <c r="A28" s="1854"/>
      <c r="B28" s="1409" t="s">
        <v>169</v>
      </c>
      <c r="C28" s="4" t="s">
        <v>20</v>
      </c>
      <c r="D28" s="4"/>
      <c r="E28" s="4"/>
      <c r="F28" s="4"/>
      <c r="G28" s="4"/>
      <c r="H28" s="4"/>
      <c r="I28" s="4"/>
      <c r="J28" s="4"/>
      <c r="K28" s="4"/>
      <c r="L28" s="4"/>
      <c r="M28" s="4"/>
      <c r="N28" s="4"/>
      <c r="O28" s="4"/>
      <c r="P28" s="4"/>
      <c r="Q28" s="4"/>
      <c r="R28" s="4"/>
      <c r="S28" s="4"/>
      <c r="T28" s="268"/>
    </row>
    <row r="29" spans="1:20">
      <c r="A29" s="1854"/>
      <c r="B29" s="1409"/>
      <c r="C29" s="3" t="s">
        <v>19</v>
      </c>
      <c r="D29" s="3"/>
      <c r="E29" s="3">
        <v>7600</v>
      </c>
      <c r="F29" s="3"/>
      <c r="G29" s="3"/>
      <c r="H29" s="3"/>
      <c r="I29" s="3"/>
      <c r="J29" s="3"/>
      <c r="K29" s="3"/>
      <c r="L29" s="3"/>
      <c r="M29" s="3"/>
      <c r="N29" s="3"/>
      <c r="O29" s="3"/>
      <c r="P29" s="3"/>
      <c r="Q29" s="3"/>
      <c r="R29" s="3"/>
      <c r="S29" s="3"/>
      <c r="T29" s="267" t="s">
        <v>250</v>
      </c>
    </row>
    <row r="30" spans="1:20">
      <c r="A30" s="1854"/>
      <c r="B30" s="1409" t="s">
        <v>170</v>
      </c>
      <c r="C30" s="4" t="s">
        <v>20</v>
      </c>
      <c r="D30" s="4"/>
      <c r="E30" s="4"/>
      <c r="F30" s="4"/>
      <c r="G30" s="4"/>
      <c r="H30" s="4"/>
      <c r="I30" s="4"/>
      <c r="J30" s="4"/>
      <c r="K30" s="4"/>
      <c r="L30" s="4"/>
      <c r="M30" s="4"/>
      <c r="N30" s="4"/>
      <c r="O30" s="4"/>
      <c r="P30" s="4"/>
      <c r="Q30" s="4"/>
      <c r="R30" s="4"/>
      <c r="S30" s="4"/>
      <c r="T30" s="268"/>
    </row>
    <row r="31" spans="1:20">
      <c r="A31" s="1854"/>
      <c r="B31" s="1409"/>
      <c r="C31" s="3" t="s">
        <v>19</v>
      </c>
      <c r="D31" s="3"/>
      <c r="E31" s="3">
        <v>3300</v>
      </c>
      <c r="F31" s="3"/>
      <c r="G31" s="3"/>
      <c r="H31" s="3"/>
      <c r="I31" s="3"/>
      <c r="J31" s="3"/>
      <c r="K31" s="3"/>
      <c r="L31" s="3"/>
      <c r="M31" s="3"/>
      <c r="N31" s="3"/>
      <c r="O31" s="3"/>
      <c r="P31" s="3"/>
      <c r="Q31" s="3"/>
      <c r="R31" s="3"/>
      <c r="S31" s="3"/>
      <c r="T31" s="267" t="s">
        <v>249</v>
      </c>
    </row>
    <row r="32" spans="1:20">
      <c r="A32" s="1854"/>
      <c r="B32" s="1409" t="s">
        <v>171</v>
      </c>
      <c r="C32" s="4" t="s">
        <v>20</v>
      </c>
      <c r="D32" s="4"/>
      <c r="E32" s="4"/>
      <c r="F32" s="4"/>
      <c r="G32" s="4"/>
      <c r="H32" s="4"/>
      <c r="I32" s="4"/>
      <c r="J32" s="4"/>
      <c r="K32" s="4"/>
      <c r="L32" s="4"/>
      <c r="M32" s="4"/>
      <c r="N32" s="4"/>
      <c r="O32" s="4"/>
      <c r="P32" s="4"/>
      <c r="Q32" s="4"/>
      <c r="R32" s="4"/>
      <c r="S32" s="4"/>
      <c r="T32" s="268"/>
    </row>
    <row r="33" spans="1:20" ht="15.75" thickBot="1">
      <c r="A33" s="1852"/>
      <c r="B33" s="1855"/>
      <c r="C33" s="269" t="s">
        <v>19</v>
      </c>
      <c r="D33" s="269"/>
      <c r="E33" s="269">
        <v>3000</v>
      </c>
      <c r="F33" s="269"/>
      <c r="G33" s="269"/>
      <c r="H33" s="269"/>
      <c r="I33" s="269"/>
      <c r="J33" s="269"/>
      <c r="K33" s="269"/>
      <c r="L33" s="269"/>
      <c r="M33" s="269"/>
      <c r="N33" s="269"/>
      <c r="O33" s="269"/>
      <c r="P33" s="269"/>
      <c r="Q33" s="269"/>
      <c r="R33" s="269"/>
      <c r="S33" s="269"/>
      <c r="T33" s="270" t="s">
        <v>250</v>
      </c>
    </row>
    <row r="34" spans="1:20" hidden="1">
      <c r="A34" s="1850" t="s">
        <v>34</v>
      </c>
      <c r="B34" s="1425" t="s">
        <v>238</v>
      </c>
      <c r="C34" s="16" t="s">
        <v>19</v>
      </c>
      <c r="D34" s="16"/>
      <c r="E34" s="16">
        <v>0</v>
      </c>
      <c r="F34" s="16"/>
      <c r="G34" s="16"/>
      <c r="H34" s="16"/>
      <c r="I34" s="16"/>
      <c r="J34" s="16"/>
      <c r="K34" s="16"/>
      <c r="L34" s="16"/>
      <c r="M34" s="16"/>
      <c r="N34" s="16"/>
      <c r="O34" s="16"/>
      <c r="P34" s="17"/>
      <c r="Q34" s="17"/>
      <c r="R34" s="17"/>
      <c r="S34" s="17"/>
      <c r="T34" s="267"/>
    </row>
    <row r="35" spans="1:20" hidden="1">
      <c r="A35" s="1850"/>
      <c r="B35" s="1409"/>
      <c r="C35" s="4" t="s">
        <v>20</v>
      </c>
      <c r="D35" s="4"/>
      <c r="E35" s="4"/>
      <c r="F35" s="4"/>
      <c r="G35" s="4"/>
      <c r="H35" s="4"/>
      <c r="I35" s="4"/>
      <c r="J35" s="4"/>
      <c r="K35" s="4"/>
      <c r="L35" s="4"/>
      <c r="M35" s="4"/>
      <c r="N35" s="4"/>
      <c r="O35" s="4"/>
      <c r="P35" s="4"/>
      <c r="Q35" s="4"/>
      <c r="R35" s="4"/>
      <c r="S35" s="4"/>
      <c r="T35" s="268"/>
    </row>
    <row r="36" spans="1:20" hidden="1">
      <c r="A36" s="1850"/>
      <c r="B36" s="1409" t="s">
        <v>239</v>
      </c>
      <c r="C36" s="3" t="s">
        <v>19</v>
      </c>
      <c r="D36" s="3"/>
      <c r="E36" s="3">
        <v>0</v>
      </c>
      <c r="F36" s="3"/>
      <c r="G36" s="3"/>
      <c r="H36" s="3"/>
      <c r="I36" s="3"/>
      <c r="J36" s="3"/>
      <c r="K36" s="3"/>
      <c r="L36" s="3"/>
      <c r="M36" s="3">
        <v>0</v>
      </c>
      <c r="N36" s="3"/>
      <c r="O36" s="3"/>
      <c r="P36" s="3"/>
      <c r="Q36" s="3"/>
      <c r="R36" s="3"/>
      <c r="S36" s="3">
        <v>0</v>
      </c>
      <c r="T36" s="1864">
        <v>0</v>
      </c>
    </row>
    <row r="37" spans="1:20" hidden="1">
      <c r="A37" s="1850"/>
      <c r="B37" s="1409"/>
      <c r="C37" s="4" t="s">
        <v>20</v>
      </c>
      <c r="D37" s="4"/>
      <c r="E37" s="4"/>
      <c r="F37" s="4"/>
      <c r="G37" s="4"/>
      <c r="H37" s="4"/>
      <c r="I37" s="4"/>
      <c r="J37" s="4"/>
      <c r="K37" s="4"/>
      <c r="L37" s="4"/>
      <c r="M37" s="4"/>
      <c r="N37" s="4"/>
      <c r="O37" s="4"/>
      <c r="P37" s="4"/>
      <c r="Q37" s="4"/>
      <c r="R37" s="4"/>
      <c r="S37" s="4"/>
      <c r="T37" s="1862"/>
    </row>
    <row r="38" spans="1:20" hidden="1">
      <c r="A38" s="1850"/>
      <c r="B38" s="1409" t="s">
        <v>240</v>
      </c>
      <c r="C38" s="3" t="s">
        <v>19</v>
      </c>
      <c r="D38" s="3"/>
      <c r="E38" s="3">
        <v>0</v>
      </c>
      <c r="F38" s="3"/>
      <c r="G38" s="3"/>
      <c r="H38" s="3"/>
      <c r="I38" s="3"/>
      <c r="J38" s="3"/>
      <c r="K38" s="3"/>
      <c r="L38" s="3"/>
      <c r="M38" s="3"/>
      <c r="N38" s="3"/>
      <c r="O38" s="3"/>
      <c r="P38" s="3"/>
      <c r="Q38" s="3"/>
      <c r="R38" s="3"/>
      <c r="S38" s="3"/>
      <c r="T38" s="1862"/>
    </row>
    <row r="39" spans="1:20" hidden="1">
      <c r="A39" s="1850"/>
      <c r="B39" s="1409"/>
      <c r="C39" s="4" t="s">
        <v>20</v>
      </c>
      <c r="D39" s="4"/>
      <c r="E39" s="4"/>
      <c r="F39" s="4"/>
      <c r="G39" s="4"/>
      <c r="H39" s="4"/>
      <c r="I39" s="4"/>
      <c r="J39" s="4"/>
      <c r="K39" s="4"/>
      <c r="L39" s="4"/>
      <c r="M39" s="4"/>
      <c r="N39" s="4"/>
      <c r="O39" s="4"/>
      <c r="P39" s="4"/>
      <c r="Q39" s="4"/>
      <c r="R39" s="4"/>
      <c r="S39" s="4"/>
      <c r="T39" s="1862"/>
    </row>
    <row r="40" spans="1:20" hidden="1">
      <c r="A40" s="1850"/>
      <c r="B40" s="1409" t="s">
        <v>241</v>
      </c>
      <c r="C40" s="3" t="s">
        <v>19</v>
      </c>
      <c r="D40" s="3"/>
      <c r="E40" s="3">
        <v>0</v>
      </c>
      <c r="F40" s="3"/>
      <c r="G40" s="3"/>
      <c r="H40" s="3"/>
      <c r="I40" s="3"/>
      <c r="J40" s="3"/>
      <c r="K40" s="3"/>
      <c r="L40" s="3"/>
      <c r="M40" s="3">
        <v>0</v>
      </c>
      <c r="N40" s="3"/>
      <c r="O40" s="3"/>
      <c r="P40" s="3"/>
      <c r="Q40" s="3"/>
      <c r="R40" s="3"/>
      <c r="S40" s="3">
        <v>0</v>
      </c>
      <c r="T40" s="1862"/>
    </row>
    <row r="41" spans="1:20" ht="15.75" hidden="1" thickBot="1">
      <c r="A41" s="1850"/>
      <c r="B41" s="1855"/>
      <c r="C41" s="4" t="s">
        <v>20</v>
      </c>
      <c r="D41" s="4"/>
      <c r="E41" s="4"/>
      <c r="F41" s="4"/>
      <c r="G41" s="4"/>
      <c r="H41" s="4"/>
      <c r="I41" s="4"/>
      <c r="J41" s="4"/>
      <c r="K41" s="4"/>
      <c r="L41" s="4"/>
      <c r="M41" s="4"/>
      <c r="N41" s="4"/>
      <c r="O41" s="4"/>
      <c r="P41" s="4"/>
      <c r="Q41" s="4"/>
      <c r="R41" s="4"/>
      <c r="S41" s="4"/>
      <c r="T41" s="1863"/>
    </row>
    <row r="42" spans="1:20">
      <c r="A42" s="1849" t="s">
        <v>242</v>
      </c>
      <c r="B42" s="1369" t="s">
        <v>243</v>
      </c>
      <c r="C42" s="2" t="s">
        <v>19</v>
      </c>
      <c r="D42" s="2"/>
      <c r="E42" s="2">
        <v>14100</v>
      </c>
      <c r="F42" s="2"/>
      <c r="G42" s="2"/>
      <c r="H42" s="2"/>
      <c r="I42" s="2"/>
      <c r="J42" s="2"/>
      <c r="K42" s="2"/>
      <c r="L42" s="2"/>
      <c r="M42" s="2"/>
      <c r="N42" s="2"/>
      <c r="O42" s="2"/>
      <c r="P42" s="2"/>
      <c r="Q42" s="2"/>
      <c r="R42" s="2"/>
      <c r="S42" s="2"/>
      <c r="T42" s="272" t="s">
        <v>251</v>
      </c>
    </row>
    <row r="43" spans="1:20">
      <c r="A43" s="1850"/>
      <c r="B43" s="1851"/>
      <c r="C43" s="4" t="s">
        <v>20</v>
      </c>
      <c r="D43" s="4"/>
      <c r="E43" s="4"/>
      <c r="F43" s="4"/>
      <c r="G43" s="4"/>
      <c r="H43" s="4"/>
      <c r="I43" s="4"/>
      <c r="J43" s="4"/>
      <c r="K43" s="4"/>
      <c r="L43" s="4"/>
      <c r="M43" s="4"/>
      <c r="N43" s="4"/>
      <c r="O43" s="4"/>
      <c r="P43" s="4"/>
      <c r="Q43" s="4"/>
      <c r="R43" s="4"/>
      <c r="S43" s="4"/>
      <c r="T43" s="268"/>
    </row>
    <row r="44" spans="1:20">
      <c r="A44" s="1850"/>
      <c r="B44" s="1438" t="s">
        <v>244</v>
      </c>
      <c r="C44" s="3" t="s">
        <v>19</v>
      </c>
      <c r="D44" s="3"/>
      <c r="E44" s="3">
        <v>14700</v>
      </c>
      <c r="F44" s="3"/>
      <c r="G44" s="3"/>
      <c r="H44" s="3"/>
      <c r="I44" s="3"/>
      <c r="J44" s="3"/>
      <c r="K44" s="3"/>
      <c r="L44" s="3"/>
      <c r="M44" s="3"/>
      <c r="N44" s="3"/>
      <c r="O44" s="3"/>
      <c r="P44" s="3"/>
      <c r="Q44" s="3"/>
      <c r="R44" s="3"/>
      <c r="S44" s="3"/>
      <c r="T44" s="267" t="s">
        <v>253</v>
      </c>
    </row>
    <row r="45" spans="1:20" ht="15.75" thickBot="1">
      <c r="A45" s="1850"/>
      <c r="B45" s="1370"/>
      <c r="C45" s="55" t="s">
        <v>20</v>
      </c>
      <c r="D45" s="55"/>
      <c r="E45" s="55"/>
      <c r="F45" s="55"/>
      <c r="G45" s="55"/>
      <c r="H45" s="55"/>
      <c r="I45" s="55"/>
      <c r="J45" s="55"/>
      <c r="K45" s="55"/>
      <c r="L45" s="55"/>
      <c r="M45" s="55"/>
      <c r="N45" s="55"/>
      <c r="O45" s="55"/>
      <c r="P45" s="55"/>
      <c r="Q45" s="55"/>
      <c r="R45" s="55"/>
      <c r="S45" s="55"/>
      <c r="T45" s="273"/>
    </row>
    <row r="46" spans="1:20">
      <c r="A46" s="1367" t="s">
        <v>245</v>
      </c>
      <c r="B46" s="1425" t="s">
        <v>165</v>
      </c>
      <c r="C46" s="2" t="s">
        <v>19</v>
      </c>
      <c r="D46" s="2"/>
      <c r="E46" s="2">
        <v>7850</v>
      </c>
      <c r="F46" s="2"/>
      <c r="G46" s="2"/>
      <c r="H46" s="2"/>
      <c r="I46" s="2"/>
      <c r="J46" s="2"/>
      <c r="K46" s="2"/>
      <c r="L46" s="2"/>
      <c r="M46" s="2">
        <v>300</v>
      </c>
      <c r="N46" s="2"/>
      <c r="O46" s="2"/>
      <c r="P46" s="2"/>
      <c r="Q46" s="2"/>
      <c r="R46" s="2"/>
      <c r="S46" s="2">
        <v>1</v>
      </c>
      <c r="T46" s="1861" t="s">
        <v>254</v>
      </c>
    </row>
    <row r="47" spans="1:20">
      <c r="A47" s="1854"/>
      <c r="B47" s="1409"/>
      <c r="C47" s="55" t="s">
        <v>20</v>
      </c>
      <c r="D47" s="55"/>
      <c r="E47" s="55"/>
      <c r="F47" s="55"/>
      <c r="G47" s="55"/>
      <c r="H47" s="55"/>
      <c r="I47" s="55"/>
      <c r="J47" s="55"/>
      <c r="K47" s="55"/>
      <c r="L47" s="55"/>
      <c r="M47" s="55"/>
      <c r="N47" s="55"/>
      <c r="O47" s="55"/>
      <c r="P47" s="55"/>
      <c r="Q47" s="55"/>
      <c r="R47" s="55"/>
      <c r="S47" s="55"/>
      <c r="T47" s="1862"/>
    </row>
    <row r="48" spans="1:20">
      <c r="A48" s="1854"/>
      <c r="B48" s="1409" t="s">
        <v>168</v>
      </c>
      <c r="C48" s="3" t="s">
        <v>19</v>
      </c>
      <c r="D48" s="3"/>
      <c r="E48" s="3">
        <v>10300</v>
      </c>
      <c r="F48" s="3"/>
      <c r="G48" s="3"/>
      <c r="H48" s="3"/>
      <c r="I48" s="3"/>
      <c r="J48" s="3"/>
      <c r="K48" s="3"/>
      <c r="L48" s="3"/>
      <c r="M48" s="3">
        <v>1100</v>
      </c>
      <c r="N48" s="3"/>
      <c r="O48" s="3"/>
      <c r="P48" s="3"/>
      <c r="Q48" s="3"/>
      <c r="R48" s="3"/>
      <c r="S48" s="3">
        <v>3</v>
      </c>
      <c r="T48" s="1862"/>
    </row>
    <row r="49" spans="1:20">
      <c r="A49" s="1854"/>
      <c r="B49" s="1409"/>
      <c r="C49" s="55" t="s">
        <v>20</v>
      </c>
      <c r="D49" s="55"/>
      <c r="E49" s="55"/>
      <c r="F49" s="55"/>
      <c r="G49" s="55"/>
      <c r="H49" s="55"/>
      <c r="I49" s="55"/>
      <c r="J49" s="55"/>
      <c r="K49" s="55"/>
      <c r="L49" s="55"/>
      <c r="M49" s="55"/>
      <c r="N49" s="55"/>
      <c r="O49" s="55"/>
      <c r="P49" s="55"/>
      <c r="Q49" s="55"/>
      <c r="R49" s="55"/>
      <c r="S49" s="55"/>
      <c r="T49" s="1862"/>
    </row>
    <row r="50" spans="1:20">
      <c r="A50" s="1854"/>
      <c r="B50" s="1409" t="s">
        <v>166</v>
      </c>
      <c r="C50" s="3" t="s">
        <v>19</v>
      </c>
      <c r="D50" s="3"/>
      <c r="E50" s="3">
        <v>5500</v>
      </c>
      <c r="F50" s="3"/>
      <c r="G50" s="3"/>
      <c r="H50" s="3"/>
      <c r="I50" s="3"/>
      <c r="J50" s="3"/>
      <c r="K50" s="3"/>
      <c r="L50" s="3"/>
      <c r="M50" s="3">
        <v>600</v>
      </c>
      <c r="N50" s="3"/>
      <c r="O50" s="3"/>
      <c r="P50" s="3"/>
      <c r="Q50" s="3"/>
      <c r="R50" s="3"/>
      <c r="S50" s="3">
        <v>2</v>
      </c>
      <c r="T50" s="1862"/>
    </row>
    <row r="51" spans="1:20" ht="15.75" thickBot="1">
      <c r="A51" s="1852"/>
      <c r="B51" s="1855"/>
      <c r="C51" s="5" t="s">
        <v>20</v>
      </c>
      <c r="D51" s="5"/>
      <c r="E51" s="5"/>
      <c r="F51" s="5"/>
      <c r="G51" s="5"/>
      <c r="H51" s="5"/>
      <c r="I51" s="5"/>
      <c r="J51" s="5"/>
      <c r="K51" s="5"/>
      <c r="L51" s="5"/>
      <c r="M51" s="5"/>
      <c r="N51" s="5"/>
      <c r="O51" s="5"/>
      <c r="P51" s="5"/>
      <c r="Q51" s="5"/>
      <c r="R51" s="5"/>
      <c r="S51" s="5"/>
      <c r="T51" s="1863"/>
    </row>
  </sheetData>
  <mergeCells count="38">
    <mergeCell ref="T46:T51"/>
    <mergeCell ref="B48:B49"/>
    <mergeCell ref="B50:B51"/>
    <mergeCell ref="A34:A41"/>
    <mergeCell ref="B34:B35"/>
    <mergeCell ref="B36:B37"/>
    <mergeCell ref="T36:T41"/>
    <mergeCell ref="B38:B39"/>
    <mergeCell ref="B40:B41"/>
    <mergeCell ref="A42:A45"/>
    <mergeCell ref="B42:B43"/>
    <mergeCell ref="B44:B45"/>
    <mergeCell ref="A46:A51"/>
    <mergeCell ref="B46:B47"/>
    <mergeCell ref="A18:A33"/>
    <mergeCell ref="B18:B19"/>
    <mergeCell ref="B20:B21"/>
    <mergeCell ref="B22:B23"/>
    <mergeCell ref="B24:B25"/>
    <mergeCell ref="B26:B27"/>
    <mergeCell ref="B28:B29"/>
    <mergeCell ref="B30:B31"/>
    <mergeCell ref="B32:B33"/>
    <mergeCell ref="A4:A17"/>
    <mergeCell ref="B4:B5"/>
    <mergeCell ref="T4:T9"/>
    <mergeCell ref="B6:B7"/>
    <mergeCell ref="B8:B9"/>
    <mergeCell ref="B10:B11"/>
    <mergeCell ref="B12:B13"/>
    <mergeCell ref="B14:B15"/>
    <mergeCell ref="B16:B17"/>
    <mergeCell ref="T2:T3"/>
    <mergeCell ref="A2:A3"/>
    <mergeCell ref="B2:B3"/>
    <mergeCell ref="C2:C3"/>
    <mergeCell ref="D2:L2"/>
    <mergeCell ref="M2:R2"/>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Q55"/>
  <sheetViews>
    <sheetView workbookViewId="0">
      <selection activeCell="E5" sqref="E5"/>
    </sheetView>
  </sheetViews>
  <sheetFormatPr defaultRowHeight="15"/>
  <cols>
    <col min="1" max="1" width="13.140625" customWidth="1"/>
    <col min="2" max="3" width="10.85546875" customWidth="1"/>
    <col min="5" max="5" width="11.42578125" customWidth="1"/>
    <col min="8" max="8" width="10.7109375" customWidth="1"/>
    <col min="9" max="9" width="13.140625" customWidth="1"/>
    <col min="10" max="10" width="12.7109375" customWidth="1"/>
    <col min="12" max="13" width="0" hidden="1" customWidth="1"/>
    <col min="14" max="14" width="30.7109375" customWidth="1"/>
    <col min="15" max="15" width="9.140625" style="320"/>
    <col min="16" max="16" width="11.7109375" customWidth="1"/>
  </cols>
  <sheetData>
    <row r="1" spans="1:17">
      <c r="A1" s="498"/>
      <c r="B1" s="498"/>
      <c r="C1" s="498"/>
      <c r="D1" s="205"/>
    </row>
    <row r="2" spans="1:17" ht="15.75" thickBot="1">
      <c r="A2" s="498"/>
      <c r="B2" s="498"/>
      <c r="C2" s="498"/>
      <c r="D2" s="205"/>
    </row>
    <row r="3" spans="1:17" ht="30">
      <c r="A3" s="1879" t="s">
        <v>304</v>
      </c>
      <c r="B3" s="1877" t="s">
        <v>307</v>
      </c>
      <c r="C3" s="1881" t="s">
        <v>308</v>
      </c>
      <c r="D3" s="1883"/>
      <c r="E3" s="517" t="s">
        <v>1150</v>
      </c>
      <c r="F3" s="503"/>
      <c r="G3" s="318"/>
      <c r="H3" s="1875" t="s">
        <v>1152</v>
      </c>
      <c r="I3" s="1876"/>
      <c r="K3" s="466" t="s">
        <v>1155</v>
      </c>
      <c r="L3" s="1870" t="s">
        <v>1156</v>
      </c>
      <c r="M3" s="1871"/>
      <c r="N3" s="1872"/>
      <c r="O3" s="1403" t="s">
        <v>1157</v>
      </c>
      <c r="P3" s="1865"/>
    </row>
    <row r="4" spans="1:17" ht="23.25" customHeight="1" thickBot="1">
      <c r="A4" s="1880"/>
      <c r="B4" s="1878"/>
      <c r="C4" s="1882"/>
      <c r="D4" s="1883"/>
      <c r="E4" s="504" t="s">
        <v>1151</v>
      </c>
      <c r="F4" s="502"/>
      <c r="G4" s="318"/>
      <c r="H4" s="506" t="s">
        <v>1151</v>
      </c>
      <c r="I4" s="507"/>
      <c r="K4" s="463">
        <v>89000</v>
      </c>
      <c r="L4" s="614">
        <v>70000</v>
      </c>
      <c r="M4" s="648"/>
      <c r="N4" s="647">
        <v>70000</v>
      </c>
      <c r="O4" s="614">
        <v>125000</v>
      </c>
      <c r="P4" s="615"/>
    </row>
    <row r="5" spans="1:17" ht="45">
      <c r="A5" s="499" t="s">
        <v>305</v>
      </c>
      <c r="B5" s="471" t="s">
        <v>306</v>
      </c>
      <c r="C5" s="500" t="s">
        <v>306</v>
      </c>
      <c r="D5" s="502"/>
      <c r="E5" s="504" t="s">
        <v>306</v>
      </c>
      <c r="F5" s="502"/>
      <c r="G5" s="318"/>
      <c r="H5" s="508">
        <v>70000</v>
      </c>
      <c r="I5" s="509" t="s">
        <v>1153</v>
      </c>
    </row>
    <row r="6" spans="1:17" ht="30.75" thickBot="1">
      <c r="A6" s="499">
        <v>100</v>
      </c>
      <c r="B6" s="471">
        <f>39000*1.2</f>
        <v>46800</v>
      </c>
      <c r="C6" s="500"/>
      <c r="D6" s="502"/>
      <c r="E6" s="505">
        <v>30000</v>
      </c>
      <c r="F6" s="502"/>
      <c r="G6" s="318"/>
      <c r="H6" s="508">
        <v>35000</v>
      </c>
      <c r="I6" s="509" t="s">
        <v>309</v>
      </c>
    </row>
    <row r="7" spans="1:17" ht="30.75" thickBot="1">
      <c r="A7" s="499">
        <v>150</v>
      </c>
      <c r="B7" s="471">
        <f>43000*1.2</f>
        <v>51600</v>
      </c>
      <c r="C7" s="500"/>
      <c r="D7" s="318"/>
      <c r="E7" s="318"/>
      <c r="F7" s="318"/>
      <c r="G7" s="318"/>
      <c r="H7" s="514">
        <v>134000</v>
      </c>
      <c r="I7" s="515" t="s">
        <v>1154</v>
      </c>
    </row>
    <row r="8" spans="1:17">
      <c r="A8" s="499">
        <v>200</v>
      </c>
      <c r="B8" s="471">
        <f>47000*1.2</f>
        <v>56400</v>
      </c>
      <c r="C8" s="500"/>
      <c r="D8" s="318"/>
      <c r="E8" s="318"/>
      <c r="F8" s="318"/>
      <c r="G8" s="318"/>
      <c r="H8" s="510"/>
      <c r="I8" s="510"/>
    </row>
    <row r="9" spans="1:17">
      <c r="A9" s="499">
        <v>250</v>
      </c>
      <c r="B9" s="471">
        <f>51000*1.2</f>
        <v>61200</v>
      </c>
      <c r="C9" s="500"/>
      <c r="D9" s="318"/>
      <c r="E9" s="318"/>
      <c r="F9" s="318"/>
      <c r="G9" s="318"/>
      <c r="H9" s="318"/>
      <c r="I9" s="318"/>
      <c r="N9">
        <f>306*3000</f>
        <v>918000</v>
      </c>
    </row>
    <row r="10" spans="1:17">
      <c r="A10" s="499">
        <v>300</v>
      </c>
      <c r="B10" s="471">
        <f>60000*1.2</f>
        <v>72000</v>
      </c>
      <c r="C10" s="500"/>
      <c r="D10" s="318"/>
      <c r="E10" s="318"/>
      <c r="F10" s="318"/>
      <c r="G10" s="318"/>
      <c r="H10" s="318"/>
      <c r="I10" s="318"/>
    </row>
    <row r="11" spans="1:17">
      <c r="A11" s="499">
        <v>500</v>
      </c>
      <c r="B11" s="471">
        <f>88000*1.2</f>
        <v>105600</v>
      </c>
      <c r="C11" s="500">
        <v>34000</v>
      </c>
      <c r="D11" s="318"/>
      <c r="E11" s="318"/>
      <c r="F11" s="318"/>
      <c r="G11" s="318"/>
      <c r="H11" s="318"/>
      <c r="I11" s="318"/>
    </row>
    <row r="12" spans="1:17">
      <c r="A12" s="499">
        <v>1000</v>
      </c>
      <c r="B12" s="471">
        <f>100000*1.2</f>
        <v>120000</v>
      </c>
      <c r="C12" s="500">
        <v>48000</v>
      </c>
      <c r="D12" s="318"/>
      <c r="E12" s="318"/>
      <c r="F12" s="318"/>
      <c r="G12" s="318"/>
      <c r="H12" s="318"/>
      <c r="I12" s="1015"/>
    </row>
    <row r="13" spans="1:17" s="320" customFormat="1">
      <c r="A13" s="499">
        <v>2500</v>
      </c>
      <c r="B13" s="471"/>
      <c r="C13" s="500">
        <v>56000</v>
      </c>
      <c r="D13" s="319"/>
      <c r="E13" s="319"/>
      <c r="F13" s="319"/>
      <c r="G13" s="319"/>
      <c r="H13" s="319"/>
      <c r="I13" s="1015"/>
    </row>
    <row r="14" spans="1:17" ht="15.75" thickBot="1">
      <c r="A14" s="511">
        <v>5000</v>
      </c>
      <c r="B14" s="512">
        <f>130000*1.2</f>
        <v>156000</v>
      </c>
      <c r="C14" s="513">
        <v>60000</v>
      </c>
      <c r="D14" s="318"/>
      <c r="E14" s="318"/>
      <c r="F14" s="318"/>
      <c r="G14" s="318"/>
      <c r="H14" s="1015"/>
      <c r="I14" s="1015"/>
      <c r="K14" s="44"/>
    </row>
    <row r="15" spans="1:17" ht="15.75" thickBot="1">
      <c r="H15" s="44"/>
    </row>
    <row r="16" spans="1:17">
      <c r="A16" s="518" t="s">
        <v>1158</v>
      </c>
      <c r="B16" s="516">
        <v>133000</v>
      </c>
      <c r="O16" s="44"/>
      <c r="P16" s="44"/>
      <c r="Q16" s="44"/>
    </row>
    <row r="17" spans="1:17" ht="15.75" thickBot="1">
      <c r="A17" s="519" t="s">
        <v>1159</v>
      </c>
      <c r="B17" s="520">
        <v>550</v>
      </c>
    </row>
    <row r="18" spans="1:17" ht="15.75" thickBot="1"/>
    <row r="19" spans="1:17">
      <c r="A19" s="1873" t="s">
        <v>1160</v>
      </c>
      <c r="B19" s="1430"/>
      <c r="C19" s="1430"/>
      <c r="D19" s="1430"/>
      <c r="E19" s="1867"/>
      <c r="G19" s="1428" t="s">
        <v>1167</v>
      </c>
      <c r="H19" s="1430"/>
      <c r="I19" s="1430"/>
      <c r="J19" s="1867"/>
      <c r="N19" s="541"/>
      <c r="O19" s="1428" t="s">
        <v>1178</v>
      </c>
      <c r="P19" s="1867"/>
      <c r="Q19" s="320"/>
    </row>
    <row r="20" spans="1:17" ht="15.75" thickBot="1">
      <c r="A20" s="1868"/>
      <c r="B20" s="1874"/>
      <c r="C20" s="1874"/>
      <c r="D20" s="1874"/>
      <c r="E20" s="1869"/>
      <c r="G20" s="1868"/>
      <c r="H20" s="1874"/>
      <c r="I20" s="1874"/>
      <c r="J20" s="1869"/>
      <c r="N20" s="541"/>
      <c r="O20" s="1868"/>
      <c r="P20" s="1869"/>
      <c r="Q20" s="196"/>
    </row>
    <row r="21" spans="1:17" ht="45.75" thickBot="1">
      <c r="A21" s="553" t="s">
        <v>310</v>
      </c>
      <c r="B21" s="554" t="s">
        <v>1161</v>
      </c>
      <c r="C21" s="554" t="s">
        <v>1162</v>
      </c>
      <c r="D21" s="554" t="s">
        <v>1163</v>
      </c>
      <c r="E21" s="555" t="s">
        <v>1164</v>
      </c>
      <c r="G21" s="548" t="s">
        <v>1166</v>
      </c>
      <c r="H21" s="549" t="s">
        <v>1169</v>
      </c>
      <c r="I21" s="550" t="s">
        <v>1170</v>
      </c>
      <c r="J21" s="551" t="s">
        <v>1171</v>
      </c>
      <c r="N21" s="539"/>
      <c r="O21" s="542" t="s">
        <v>1179</v>
      </c>
      <c r="P21" s="543" t="s">
        <v>310</v>
      </c>
      <c r="Q21" s="324"/>
    </row>
    <row r="22" spans="1:17" ht="18" thickBot="1">
      <c r="A22" s="552" t="s">
        <v>1165</v>
      </c>
      <c r="B22" s="521" t="s">
        <v>311</v>
      </c>
      <c r="C22" s="521" t="s">
        <v>311</v>
      </c>
      <c r="D22" s="521" t="s">
        <v>311</v>
      </c>
      <c r="E22" s="522" t="s">
        <v>311</v>
      </c>
      <c r="G22" s="544">
        <v>110</v>
      </c>
      <c r="H22" s="545">
        <v>64</v>
      </c>
      <c r="I22" s="546">
        <f>H22*1.1</f>
        <v>70.400000000000006</v>
      </c>
      <c r="J22" s="547">
        <v>71</v>
      </c>
      <c r="N22" s="205"/>
      <c r="O22" s="470" t="s">
        <v>1180</v>
      </c>
      <c r="P22" s="565" t="s">
        <v>1181</v>
      </c>
      <c r="Q22" s="320"/>
    </row>
    <row r="23" spans="1:17">
      <c r="A23" s="285">
        <v>100</v>
      </c>
      <c r="B23" s="467">
        <f>150*100</f>
        <v>15000</v>
      </c>
      <c r="C23" s="467">
        <f>B23*1.15</f>
        <v>17250</v>
      </c>
      <c r="D23" s="467">
        <f>C23*1.24</f>
        <v>21390</v>
      </c>
      <c r="E23" s="286">
        <v>21500</v>
      </c>
      <c r="F23">
        <f>E23/A23</f>
        <v>215</v>
      </c>
      <c r="G23" s="529">
        <v>125</v>
      </c>
      <c r="H23" s="322">
        <v>68</v>
      </c>
      <c r="I23" s="323">
        <f>H23*1.1</f>
        <v>74.800000000000011</v>
      </c>
      <c r="J23" s="286">
        <v>75</v>
      </c>
      <c r="N23" s="540"/>
      <c r="O23" s="566">
        <v>80500</v>
      </c>
      <c r="P23" s="538">
        <v>200</v>
      </c>
      <c r="Q23" s="320"/>
    </row>
    <row r="24" spans="1:17">
      <c r="A24" s="523">
        <v>150</v>
      </c>
      <c r="B24" s="321">
        <v>19800</v>
      </c>
      <c r="C24" s="321">
        <v>22770</v>
      </c>
      <c r="D24" s="321">
        <v>28234.799999999999</v>
      </c>
      <c r="E24" s="286">
        <v>28500</v>
      </c>
      <c r="F24" s="320">
        <f t="shared" ref="F24:F31" si="0">E24/A24</f>
        <v>190</v>
      </c>
      <c r="G24" s="529">
        <v>160</v>
      </c>
      <c r="H24" s="322">
        <v>79</v>
      </c>
      <c r="I24" s="323">
        <f>H24*1.1</f>
        <v>86.9</v>
      </c>
      <c r="J24" s="286">
        <v>87</v>
      </c>
      <c r="N24" s="540"/>
      <c r="O24" s="567">
        <v>82000</v>
      </c>
      <c r="P24" s="535">
        <v>300</v>
      </c>
      <c r="Q24" s="320"/>
    </row>
    <row r="25" spans="1:17" s="320" customFormat="1">
      <c r="A25" s="523">
        <v>250</v>
      </c>
      <c r="B25" s="321">
        <f>B26*1.25</f>
        <v>31750</v>
      </c>
      <c r="C25" s="321">
        <f>B25*1.15</f>
        <v>36512.5</v>
      </c>
      <c r="D25" s="321">
        <f>C25*1.24</f>
        <v>45275.5</v>
      </c>
      <c r="E25" s="286">
        <f>45000</f>
        <v>45000</v>
      </c>
      <c r="F25" s="320">
        <f t="shared" si="0"/>
        <v>180</v>
      </c>
      <c r="G25" s="529">
        <v>200</v>
      </c>
      <c r="H25" s="322">
        <v>94</v>
      </c>
      <c r="I25" s="323">
        <f t="shared" ref="I25:I33" si="1">H25*1.1</f>
        <v>103.4</v>
      </c>
      <c r="J25" s="286">
        <v>103</v>
      </c>
      <c r="N25" s="540"/>
      <c r="O25" s="567">
        <v>92000</v>
      </c>
      <c r="P25" s="535">
        <v>400</v>
      </c>
    </row>
    <row r="26" spans="1:17">
      <c r="A26" s="523">
        <v>200</v>
      </c>
      <c r="B26" s="321">
        <v>25400</v>
      </c>
      <c r="C26" s="321">
        <v>29209.999999999996</v>
      </c>
      <c r="D26" s="321">
        <v>36220.399999999994</v>
      </c>
      <c r="E26" s="286">
        <v>36500</v>
      </c>
      <c r="F26" s="320">
        <f t="shared" si="0"/>
        <v>182.5</v>
      </c>
      <c r="G26" s="529">
        <v>250</v>
      </c>
      <c r="H26" s="322">
        <v>117</v>
      </c>
      <c r="I26" s="323">
        <f t="shared" si="1"/>
        <v>128.70000000000002</v>
      </c>
      <c r="J26" s="286">
        <v>129</v>
      </c>
      <c r="N26" s="540"/>
      <c r="O26" s="567">
        <v>94000</v>
      </c>
      <c r="P26" s="535">
        <v>500</v>
      </c>
      <c r="Q26" s="320"/>
    </row>
    <row r="27" spans="1:17">
      <c r="A27" s="523">
        <v>500</v>
      </c>
      <c r="B27" s="321">
        <v>38500</v>
      </c>
      <c r="C27" s="321">
        <v>44275</v>
      </c>
      <c r="D27" s="321">
        <v>54901</v>
      </c>
      <c r="E27" s="286">
        <v>55000</v>
      </c>
      <c r="F27" s="320">
        <f t="shared" si="0"/>
        <v>110</v>
      </c>
      <c r="G27" s="529">
        <v>315</v>
      </c>
      <c r="H27" s="322">
        <v>158</v>
      </c>
      <c r="I27" s="323">
        <f t="shared" si="1"/>
        <v>173.8</v>
      </c>
      <c r="J27" s="286">
        <v>174</v>
      </c>
      <c r="N27" s="540"/>
      <c r="O27" s="567">
        <v>106500</v>
      </c>
      <c r="P27" s="535">
        <v>650</v>
      </c>
      <c r="Q27" s="320"/>
    </row>
    <row r="28" spans="1:17" s="320" customFormat="1">
      <c r="A28" s="523">
        <v>700</v>
      </c>
      <c r="B28" s="321">
        <v>47200</v>
      </c>
      <c r="C28" s="321">
        <v>54279.999999999993</v>
      </c>
      <c r="D28" s="321">
        <v>67307.199999999997</v>
      </c>
      <c r="E28" s="286">
        <v>68000</v>
      </c>
      <c r="F28" s="320">
        <f t="shared" si="0"/>
        <v>97.142857142857139</v>
      </c>
      <c r="G28" s="529">
        <v>400</v>
      </c>
      <c r="H28" s="322">
        <v>241</v>
      </c>
      <c r="I28" s="323">
        <f t="shared" si="1"/>
        <v>265.10000000000002</v>
      </c>
      <c r="J28" s="286">
        <v>265</v>
      </c>
      <c r="N28" s="540"/>
      <c r="O28" s="567">
        <v>120000</v>
      </c>
      <c r="P28" s="535">
        <v>830</v>
      </c>
    </row>
    <row r="29" spans="1:17">
      <c r="A29" s="523">
        <v>1000</v>
      </c>
      <c r="B29" s="321">
        <f>B28+15/100*B28</f>
        <v>54280</v>
      </c>
      <c r="C29" s="321">
        <f>1.1*B29</f>
        <v>59708.000000000007</v>
      </c>
      <c r="D29" s="321">
        <f>C29*1.24</f>
        <v>74037.920000000013</v>
      </c>
      <c r="E29" s="286">
        <v>74000</v>
      </c>
      <c r="F29" s="320">
        <f t="shared" si="0"/>
        <v>74</v>
      </c>
      <c r="G29" s="529">
        <v>500</v>
      </c>
      <c r="H29" s="322">
        <v>358</v>
      </c>
      <c r="I29" s="323">
        <f t="shared" si="1"/>
        <v>393.8</v>
      </c>
      <c r="J29" s="286">
        <v>394</v>
      </c>
      <c r="N29" s="540"/>
      <c r="O29" s="567">
        <v>165500</v>
      </c>
      <c r="P29" s="535">
        <v>1000</v>
      </c>
      <c r="Q29" s="320"/>
    </row>
    <row r="30" spans="1:17">
      <c r="A30" s="523">
        <v>1500</v>
      </c>
      <c r="B30" s="321">
        <v>78450</v>
      </c>
      <c r="C30" s="321">
        <v>90217.5</v>
      </c>
      <c r="D30" s="321">
        <v>111869.7</v>
      </c>
      <c r="E30" s="286">
        <v>112000</v>
      </c>
      <c r="F30" s="320">
        <f t="shared" si="0"/>
        <v>74.666666666666671</v>
      </c>
      <c r="G30" s="529">
        <v>630</v>
      </c>
      <c r="H30" s="322">
        <v>515</v>
      </c>
      <c r="I30" s="323">
        <f t="shared" si="1"/>
        <v>566.5</v>
      </c>
      <c r="J30" s="286">
        <v>567</v>
      </c>
      <c r="N30" s="540"/>
      <c r="O30" s="567">
        <v>198000</v>
      </c>
      <c r="P30" s="535">
        <v>1300</v>
      </c>
      <c r="Q30" s="320"/>
    </row>
    <row r="31" spans="1:17" ht="15.75" thickBot="1">
      <c r="A31" s="524">
        <v>50</v>
      </c>
      <c r="B31" s="525">
        <v>12000</v>
      </c>
      <c r="C31" s="465">
        <f>1.15*B31</f>
        <v>13799.999999999998</v>
      </c>
      <c r="D31" s="465">
        <f>C31*1.24</f>
        <v>17111.999999999996</v>
      </c>
      <c r="E31" s="526">
        <v>18000</v>
      </c>
      <c r="F31">
        <f t="shared" si="0"/>
        <v>360</v>
      </c>
      <c r="G31" s="529">
        <v>800</v>
      </c>
      <c r="H31" s="322">
        <v>595</v>
      </c>
      <c r="I31" s="323">
        <f t="shared" si="1"/>
        <v>654.5</v>
      </c>
      <c r="J31" s="286">
        <v>655</v>
      </c>
      <c r="N31" s="540"/>
      <c r="O31" s="567">
        <v>214000</v>
      </c>
      <c r="P31" s="535">
        <v>1500</v>
      </c>
      <c r="Q31" s="320"/>
    </row>
    <row r="32" spans="1:17" ht="15.75" thickBot="1">
      <c r="A32" s="527" t="s">
        <v>313</v>
      </c>
      <c r="B32" s="528">
        <v>67000</v>
      </c>
      <c r="F32">
        <f>SUM(F23:F31)/8</f>
        <v>185.41369047619048</v>
      </c>
      <c r="G32" s="529">
        <v>75</v>
      </c>
      <c r="H32" s="322">
        <v>58</v>
      </c>
      <c r="I32" s="530">
        <f t="shared" si="1"/>
        <v>63.800000000000004</v>
      </c>
      <c r="J32" s="501">
        <v>64</v>
      </c>
      <c r="N32" s="540"/>
      <c r="O32" s="567">
        <v>217000</v>
      </c>
      <c r="P32" s="535">
        <v>1700</v>
      </c>
      <c r="Q32" s="320"/>
    </row>
    <row r="33" spans="7:17" ht="15.75" thickBot="1">
      <c r="G33" s="524">
        <v>90</v>
      </c>
      <c r="H33" s="525">
        <v>60</v>
      </c>
      <c r="I33" s="531">
        <f t="shared" si="1"/>
        <v>66</v>
      </c>
      <c r="J33" s="520">
        <v>66</v>
      </c>
      <c r="N33" s="540"/>
      <c r="O33" s="567">
        <v>246000</v>
      </c>
      <c r="P33" s="535">
        <v>2000</v>
      </c>
      <c r="Q33" s="320"/>
    </row>
    <row r="34" spans="7:17" ht="15.75" thickBot="1">
      <c r="N34" s="540"/>
      <c r="O34" s="567">
        <v>265000</v>
      </c>
      <c r="P34" s="535">
        <v>2500</v>
      </c>
      <c r="Q34" s="205"/>
    </row>
    <row r="35" spans="7:17" ht="15.75" thickBot="1">
      <c r="G35" s="1348" t="s">
        <v>1168</v>
      </c>
      <c r="H35" s="1434"/>
      <c r="I35" s="1434"/>
      <c r="J35" s="1866"/>
      <c r="N35" s="540"/>
      <c r="O35" s="567">
        <v>319000</v>
      </c>
      <c r="P35" s="535">
        <v>3000</v>
      </c>
      <c r="Q35" s="280"/>
    </row>
    <row r="36" spans="7:17" ht="30" customHeight="1" thickBot="1">
      <c r="G36" s="558" t="s">
        <v>312</v>
      </c>
      <c r="H36" s="559" t="s">
        <v>1173</v>
      </c>
      <c r="I36" s="560" t="s">
        <v>1175</v>
      </c>
      <c r="J36" s="561" t="s">
        <v>1177</v>
      </c>
      <c r="N36" s="540"/>
      <c r="O36" s="568">
        <v>387000</v>
      </c>
      <c r="P36" s="520">
        <v>4000</v>
      </c>
      <c r="Q36" s="205"/>
    </row>
    <row r="37" spans="7:17" s="320" customFormat="1" ht="15.75" thickBot="1">
      <c r="G37" s="562" t="s">
        <v>1172</v>
      </c>
      <c r="H37" s="563" t="s">
        <v>1174</v>
      </c>
      <c r="I37" s="563" t="s">
        <v>1174</v>
      </c>
      <c r="J37" s="564" t="s">
        <v>1176</v>
      </c>
    </row>
    <row r="38" spans="7:17">
      <c r="G38" s="556">
        <v>150</v>
      </c>
      <c r="H38" s="557">
        <v>119</v>
      </c>
      <c r="I38" s="461">
        <f>H38*1.1</f>
        <v>130.9</v>
      </c>
      <c r="J38" s="538">
        <v>131</v>
      </c>
      <c r="N38" s="1084"/>
    </row>
    <row r="39" spans="7:17">
      <c r="G39" s="462">
        <v>200</v>
      </c>
      <c r="H39" s="536">
        <v>134</v>
      </c>
      <c r="I39" s="464">
        <f t="shared" ref="I39:I50" si="2">H39*1.1</f>
        <v>147.4</v>
      </c>
      <c r="J39" s="535">
        <v>147</v>
      </c>
    </row>
    <row r="40" spans="7:17">
      <c r="G40" s="462">
        <v>250</v>
      </c>
      <c r="H40" s="536">
        <v>154</v>
      </c>
      <c r="I40" s="464">
        <f t="shared" si="2"/>
        <v>169.4</v>
      </c>
      <c r="J40" s="535">
        <v>170</v>
      </c>
      <c r="N40" s="534"/>
      <c r="O40" s="534"/>
      <c r="P40" s="534"/>
    </row>
    <row r="41" spans="7:17">
      <c r="G41" s="462">
        <v>300</v>
      </c>
      <c r="H41" s="536">
        <v>165</v>
      </c>
      <c r="I41" s="464">
        <f t="shared" si="2"/>
        <v>181.50000000000003</v>
      </c>
      <c r="J41" s="535">
        <v>182</v>
      </c>
      <c r="N41" s="532"/>
      <c r="O41" s="533"/>
      <c r="P41" s="533"/>
    </row>
    <row r="42" spans="7:17" s="320" customFormat="1">
      <c r="G42" s="462">
        <v>350</v>
      </c>
      <c r="H42" s="536">
        <v>189</v>
      </c>
      <c r="I42" s="464">
        <f t="shared" si="2"/>
        <v>207.9</v>
      </c>
      <c r="J42" s="535">
        <v>208</v>
      </c>
      <c r="N42" s="532"/>
      <c r="O42" s="533"/>
      <c r="P42" s="533"/>
    </row>
    <row r="43" spans="7:17">
      <c r="G43" s="462">
        <v>400</v>
      </c>
      <c r="H43" s="536">
        <v>215</v>
      </c>
      <c r="I43" s="464">
        <f t="shared" si="2"/>
        <v>236.50000000000003</v>
      </c>
      <c r="J43" s="535">
        <v>237</v>
      </c>
      <c r="N43" s="532"/>
      <c r="O43" s="533"/>
      <c r="P43" s="533"/>
    </row>
    <row r="44" spans="7:17">
      <c r="G44" s="462">
        <v>500</v>
      </c>
      <c r="H44" s="536">
        <v>288</v>
      </c>
      <c r="I44" s="464">
        <f t="shared" si="2"/>
        <v>316.8</v>
      </c>
      <c r="J44" s="535">
        <v>317</v>
      </c>
      <c r="N44" s="532"/>
      <c r="O44" s="533"/>
      <c r="P44" s="533"/>
    </row>
    <row r="45" spans="7:17">
      <c r="G45" s="462">
        <v>600</v>
      </c>
      <c r="H45" s="536">
        <v>361</v>
      </c>
      <c r="I45" s="464">
        <f t="shared" si="2"/>
        <v>397.1</v>
      </c>
      <c r="J45" s="535">
        <v>397</v>
      </c>
      <c r="N45" s="532"/>
      <c r="O45" s="533"/>
      <c r="P45" s="533"/>
    </row>
    <row r="46" spans="7:17">
      <c r="G46" s="462">
        <v>700</v>
      </c>
      <c r="H46" s="536">
        <v>305</v>
      </c>
      <c r="I46" s="464">
        <f t="shared" si="2"/>
        <v>335.5</v>
      </c>
      <c r="J46" s="535">
        <v>336</v>
      </c>
      <c r="N46" s="532"/>
      <c r="O46" s="533"/>
      <c r="P46" s="533"/>
    </row>
    <row r="47" spans="7:17">
      <c r="G47" s="462">
        <v>800</v>
      </c>
      <c r="H47" s="536">
        <v>342</v>
      </c>
      <c r="I47" s="464">
        <f t="shared" si="2"/>
        <v>376.20000000000005</v>
      </c>
      <c r="J47" s="535">
        <v>376</v>
      </c>
      <c r="N47" s="532"/>
      <c r="O47" s="533"/>
      <c r="P47" s="533"/>
    </row>
    <row r="48" spans="7:17">
      <c r="G48" s="462">
        <v>900</v>
      </c>
      <c r="H48" s="536">
        <v>383</v>
      </c>
      <c r="I48" s="464">
        <f t="shared" si="2"/>
        <v>421.3</v>
      </c>
      <c r="J48" s="535">
        <v>421</v>
      </c>
      <c r="N48" s="532"/>
      <c r="O48" s="533"/>
      <c r="P48" s="533"/>
    </row>
    <row r="49" spans="7:16">
      <c r="G49" s="462">
        <v>1000</v>
      </c>
      <c r="H49" s="536">
        <v>396</v>
      </c>
      <c r="I49" s="464">
        <f t="shared" si="2"/>
        <v>435.6</v>
      </c>
      <c r="J49" s="535">
        <v>436</v>
      </c>
      <c r="N49" s="532"/>
      <c r="O49" s="533"/>
      <c r="P49" s="533"/>
    </row>
    <row r="50" spans="7:16" ht="15.75" thickBot="1">
      <c r="G50" s="463">
        <v>1250</v>
      </c>
      <c r="H50" s="537">
        <v>553</v>
      </c>
      <c r="I50" s="465">
        <f t="shared" si="2"/>
        <v>608.30000000000007</v>
      </c>
      <c r="J50" s="520">
        <v>570</v>
      </c>
      <c r="N50" s="532"/>
      <c r="O50" s="533"/>
      <c r="P50" s="533"/>
    </row>
    <row r="51" spans="7:16">
      <c r="N51" s="532"/>
      <c r="O51" s="533"/>
      <c r="P51" s="533"/>
    </row>
    <row r="52" spans="7:16">
      <c r="N52" s="532"/>
      <c r="O52" s="533"/>
      <c r="P52" s="533"/>
    </row>
    <row r="53" spans="7:16">
      <c r="N53" s="532"/>
      <c r="O53" s="533"/>
      <c r="P53" s="533"/>
    </row>
    <row r="54" spans="7:16">
      <c r="N54" s="532"/>
      <c r="O54" s="533"/>
      <c r="P54" s="533"/>
    </row>
    <row r="55" spans="7:16">
      <c r="N55" s="205"/>
      <c r="O55" s="205"/>
      <c r="P55" s="205"/>
    </row>
  </sheetData>
  <mergeCells count="11">
    <mergeCell ref="O3:P3"/>
    <mergeCell ref="G35:J35"/>
    <mergeCell ref="O19:P20"/>
    <mergeCell ref="L3:N3"/>
    <mergeCell ref="A19:E20"/>
    <mergeCell ref="G19:J20"/>
    <mergeCell ref="H3:I3"/>
    <mergeCell ref="B3:B4"/>
    <mergeCell ref="A3:A4"/>
    <mergeCell ref="C3:C4"/>
    <mergeCell ref="D3:D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Apa+Canal</vt:lpstr>
      <vt:lpstr>APA</vt:lpstr>
      <vt:lpstr>CANAL</vt:lpstr>
      <vt:lpstr>Pret unitar apa</vt:lpstr>
      <vt:lpstr>Pret unitar canal</vt:lpstr>
      <vt:lpstr>PretSP Apa+Canal+Puturi +ST+Rez</vt:lpstr>
      <vt:lpstr>Pret statii de epurare</vt:lpstr>
      <vt:lpstr>Anexa 7.1</vt:lpstr>
      <vt:lpstr>Anexa 7.2 </vt:lpstr>
      <vt:lpstr>Anexa 7.3</vt:lpstr>
      <vt:lpstr>Calcul instalatii namol</vt:lpstr>
      <vt:lpstr>Apa sub 2500 LE</vt:lpstr>
      <vt:lpstr>Canal sub 2500 LE</vt:lpstr>
      <vt:lpstr>preturi unitare</vt:lpstr>
      <vt:lpstr>'Anexa 7.1'!Print_Area</vt:lpstr>
      <vt:lpstr>'Anexa 7.3'!Print_Area</vt:lpstr>
      <vt:lpstr>'Anexa 7.1'!Print_Titles</vt:lpstr>
      <vt:lpstr>'Anexa 7.2 '!Print_Titles</vt:lpstr>
      <vt:lpstr>'Anexa 7.3'!Print_Titles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2014-04-24T11:35:02Z</cp:lastPrinted>
  <dcterms:created xsi:type="dcterms:W3CDTF">2011-11-11T07:23:12Z</dcterms:created>
  <dcterms:modified xsi:type="dcterms:W3CDTF">2014-06-03T05:38:09Z</dcterms:modified>
</cp:coreProperties>
</file>